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MUIEAtXFWhAsuijbek+t4PNpVpHKqplWjKV8+g7HJTBQuNOHupbTO1SDE6dE5OWbHQctvye8i/nWkLGwzE4wvw==" workbookSaltValue="z9zbp1pnFdAOTvwJ0scVE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AC17" i="11"/>
  <c r="G18" i="12"/>
  <c r="W19" i="13"/>
  <c r="AL13" i="16"/>
  <c r="S13" i="16"/>
  <c r="P13" i="16"/>
  <c r="AN13" i="20"/>
  <c r="Z13" i="17"/>
  <c r="H13" i="12"/>
  <c r="BD9" i="8"/>
  <c r="BA13" i="8"/>
  <c r="E13" i="17"/>
  <c r="T13" i="20"/>
  <c r="T13" i="16"/>
  <c r="AP13" i="16"/>
  <c r="T18" i="17"/>
  <c r="BG15" i="13"/>
  <c r="J20" i="20"/>
  <c r="AF20" i="20"/>
  <c r="M20" i="20"/>
  <c r="S20" i="20"/>
  <c r="K20" i="20"/>
  <c r="Z20" i="20"/>
  <c r="AM20" i="20"/>
  <c r="AK20" i="20"/>
  <c r="W20" i="21"/>
  <c r="F20" i="20"/>
  <c r="AG20" i="20"/>
  <c r="AN17" i="11" l="1"/>
  <c r="AJ19" i="8"/>
  <c r="Z19" i="8"/>
  <c r="AR18" i="11"/>
  <c r="T19" i="8"/>
  <c r="T13" i="12"/>
  <c r="AA19" i="8"/>
  <c r="BG12" i="8"/>
  <c r="AO12" i="11"/>
  <c r="I19" i="8"/>
  <c r="I10" i="3"/>
  <c r="C19" i="3"/>
  <c r="M18" i="2"/>
  <c r="R8" i="9"/>
  <c r="BM9" i="11" s="1"/>
  <c r="D17" i="6"/>
  <c r="J17" i="12" s="1"/>
  <c r="BF12" i="8"/>
  <c r="AY13" i="8"/>
  <c r="BD15" i="8"/>
  <c r="G18" i="2"/>
  <c r="BE9" i="8"/>
  <c r="AC12" i="11"/>
  <c r="BD11" i="13"/>
  <c r="BB13" i="13"/>
  <c r="F11" i="16"/>
  <c r="X12" i="21"/>
  <c r="BK9" i="11"/>
  <c r="AP15" i="20"/>
  <c r="BV15" i="16"/>
  <c r="S11" i="14"/>
  <c r="V11" i="14" s="1"/>
  <c r="BF11" i="11"/>
  <c r="BG10" i="11"/>
  <c r="BF16" i="11"/>
  <c r="BK15" i="11"/>
  <c r="BH9" i="11"/>
  <c r="BI17" i="11"/>
  <c r="BM15" i="11"/>
  <c r="BV17" i="16"/>
  <c r="BV11" i="16"/>
  <c r="S11" i="17"/>
  <c r="BG12" i="11"/>
  <c r="AQ10" i="21"/>
  <c r="BM17" i="11"/>
  <c r="BJ16" i="11"/>
  <c r="L9" i="2"/>
  <c r="BH15" i="11"/>
  <c r="BF10" i="11"/>
  <c r="BI15" i="11"/>
  <c r="BK17" i="11"/>
  <c r="BW16" i="20"/>
  <c r="S12" i="14"/>
  <c r="V12" i="14" s="1"/>
  <c r="BL15" i="11"/>
  <c r="S16" i="14"/>
  <c r="V16" i="14" s="1"/>
  <c r="R17" i="14"/>
  <c r="S10" i="14"/>
  <c r="V10" i="14" s="1"/>
  <c r="R10" i="14"/>
  <c r="R16" i="14"/>
  <c r="AO15" i="17"/>
  <c r="S15" i="14"/>
  <c r="V15" i="14" s="1"/>
  <c r="T17" i="11"/>
  <c r="AA10" i="16"/>
  <c r="AA15" i="16"/>
  <c r="X13" i="20"/>
  <c r="X17" i="20"/>
  <c r="V12" i="21"/>
  <c r="X16" i="20"/>
  <c r="V11" i="16"/>
  <c r="AZ16" i="11"/>
  <c r="X9" i="16"/>
  <c r="X19" i="16" s="1"/>
  <c r="T11" i="11"/>
  <c r="X16" i="17"/>
  <c r="X17" i="17"/>
  <c r="V15" i="16"/>
  <c r="AZ9" i="11"/>
  <c r="AZ19" i="11" s="1"/>
  <c r="AZ17" i="11"/>
  <c r="L12" i="2"/>
  <c r="X10" i="21"/>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K10" i="12" l="1"/>
  <c r="I12" i="12"/>
  <c r="BU9" i="17"/>
  <c r="BU15" i="17"/>
  <c r="BG15" i="11"/>
  <c r="BI10" i="11"/>
  <c r="BL17" i="11"/>
  <c r="V15" i="11"/>
  <c r="L17" i="2"/>
  <c r="BH16" i="11"/>
  <c r="BH10" i="16"/>
  <c r="BH10" i="11"/>
  <c r="AA17" i="16"/>
  <c r="U10" i="17"/>
  <c r="BV12" i="16"/>
  <c r="AZ15" i="11"/>
  <c r="AZ18" i="11" s="1"/>
  <c r="BL11" i="11"/>
  <c r="BJ11" i="11"/>
  <c r="AP10" i="21"/>
  <c r="BL12" i="11"/>
  <c r="P17" i="17"/>
  <c r="BL9" i="11"/>
  <c r="Q9" i="11" s="1"/>
  <c r="BF12" i="11"/>
  <c r="BU17" i="17"/>
  <c r="BW17" i="20"/>
  <c r="S9" i="14"/>
  <c r="V9" i="14" s="1"/>
  <c r="BH9" i="16"/>
  <c r="BK16" i="11"/>
  <c r="S15" i="17"/>
  <c r="BH11" i="11"/>
  <c r="BH12" i="16"/>
  <c r="X15" i="16"/>
  <c r="X18" i="16" s="1"/>
  <c r="S17" i="17"/>
  <c r="L15" i="2"/>
  <c r="V10" i="16"/>
  <c r="V9" i="16"/>
  <c r="BK10" i="11"/>
  <c r="BG16" i="11"/>
  <c r="AP16" i="20"/>
  <c r="Q17" i="20"/>
  <c r="Q18" i="20" s="1"/>
  <c r="V11" i="11"/>
  <c r="BJ15" i="11"/>
  <c r="T15" i="16"/>
  <c r="BV16" i="16"/>
  <c r="BV10" i="16"/>
  <c r="BV9" i="16"/>
  <c r="S15" i="16"/>
  <c r="BL10" i="11"/>
  <c r="BH11" i="16"/>
  <c r="BH17" i="16"/>
  <c r="BM16" i="11"/>
  <c r="BF17" i="11"/>
  <c r="S17" i="16"/>
  <c r="X11" i="17"/>
  <c r="S9" i="17"/>
  <c r="BM12" i="11"/>
  <c r="V9" i="11"/>
  <c r="R10" i="21"/>
  <c r="BG9" i="11"/>
  <c r="BH17" i="11"/>
  <c r="AP17" i="20"/>
  <c r="BU11" i="17"/>
  <c r="BU10" i="17"/>
  <c r="BU21" i="17" s="1"/>
  <c r="BW12" i="20"/>
  <c r="BW11" i="20"/>
  <c r="BW10" i="20"/>
  <c r="BU12" i="17"/>
  <c r="X15" i="17"/>
  <c r="Q17" i="17"/>
  <c r="BI9" i="11"/>
  <c r="S10" i="17"/>
  <c r="Q15" i="17"/>
  <c r="BF15" i="11"/>
  <c r="BF18" i="11" s="1"/>
  <c r="AQ12" i="21"/>
  <c r="BL16" i="11"/>
  <c r="BL18" i="11" s="1"/>
  <c r="U9" i="17"/>
  <c r="U19" i="17" s="1"/>
  <c r="AA9" i="16"/>
  <c r="BJ17" i="11"/>
  <c r="BH15" i="16"/>
  <c r="BK12" i="11"/>
  <c r="BK11" i="11"/>
  <c r="Q10" i="21"/>
  <c r="BJ12" i="11"/>
  <c r="R17" i="20"/>
  <c r="R18" i="20" s="1"/>
  <c r="T17" i="16"/>
  <c r="T18" i="16" s="1"/>
  <c r="T19" i="16" s="1"/>
  <c r="BW9" i="20"/>
  <c r="BW15" i="20"/>
  <c r="BU16" i="17"/>
  <c r="P15" i="17"/>
  <c r="P18" i="17" s="1"/>
  <c r="P19" i="17" s="1"/>
  <c r="BJ10" i="11"/>
  <c r="R11" i="14"/>
  <c r="T12" i="11"/>
  <c r="S17" i="14"/>
  <c r="V17" i="14" s="1"/>
  <c r="R12" i="14"/>
  <c r="AM9" i="11"/>
  <c r="T9" i="11"/>
  <c r="T15" i="11"/>
  <c r="AA16" i="16"/>
  <c r="X12" i="17"/>
  <c r="AA11" i="16"/>
  <c r="T17" i="20"/>
  <c r="U10" i="21"/>
  <c r="AA12" i="21"/>
  <c r="V17" i="16"/>
  <c r="AZ12" i="11"/>
  <c r="L11" i="2"/>
  <c r="V15" i="20"/>
  <c r="V18" i="20" s="1"/>
  <c r="T16" i="11"/>
  <c r="X10" i="17"/>
  <c r="X9" i="17"/>
  <c r="V12" i="16"/>
  <c r="AZ11" i="11"/>
  <c r="L10" i="2"/>
  <c r="L16" i="2"/>
  <c r="X12" i="16"/>
  <c r="AO17" i="17"/>
  <c r="AM11" i="11"/>
  <c r="AM12" i="11"/>
  <c r="J15" i="12"/>
  <c r="I15" i="12"/>
  <c r="H19" i="21"/>
  <c r="AB21" i="21"/>
  <c r="K16" i="12"/>
  <c r="BE13" i="13"/>
  <c r="BA19" i="13"/>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K18" i="11"/>
  <c r="P15" i="11"/>
  <c r="K12" i="12"/>
  <c r="AJ18" i="11"/>
  <c r="D18" i="5"/>
  <c r="F16" i="2"/>
  <c r="H16" i="2"/>
  <c r="J16" i="2"/>
  <c r="F13" i="3"/>
  <c r="E9" i="3"/>
  <c r="G9" i="3"/>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V20" i="21"/>
  <c r="AB20" i="20"/>
  <c r="O20" i="20"/>
  <c r="H20" i="20"/>
  <c r="O16" i="11"/>
  <c r="H20" i="17"/>
  <c r="AW20" i="11"/>
  <c r="G19" i="20" l="1"/>
  <c r="R13" i="21"/>
  <c r="R19" i="21"/>
  <c r="S18" i="16"/>
  <c r="S19" i="16" s="1"/>
  <c r="BK13" i="11"/>
  <c r="BK19" i="1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V20" i="17"/>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F21" i="16"/>
  <c r="E19" i="6"/>
  <c r="C19" i="6"/>
  <c r="AO19" i="11"/>
  <c r="AM19" i="11"/>
  <c r="B19" i="6"/>
  <c r="AL19" i="11"/>
  <c r="BL18" i="16"/>
  <c r="F19" i="16"/>
  <c r="E21" i="21"/>
  <c r="E19" i="21"/>
  <c r="AW21" i="20"/>
  <c r="AS21" i="20"/>
  <c r="AR21" i="20" s="1"/>
  <c r="AV21" i="11"/>
  <c r="C19" i="14"/>
  <c r="BF19" i="8"/>
  <c r="AQ19" i="17"/>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<sst xmlns="http://schemas.openxmlformats.org/spreadsheetml/2006/main" count="2094" uniqueCount="914">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</sst>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bOl0a+k9lXyQy7MjKKSgRGlPyCt8ReSWbGekLMQvWC+IOkuspg4hxtBktvKPyTwN01OxgNj9wm1/yovF3d1iw==" saltValue="5kxsse14b/CUnjQWTWnD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23</v>
      </c>
      <c r="D10" s="228">
        <f>IF(ISNUMBER(Datos!I10),Datos!I10," - ")</f>
        <v>23</v>
      </c>
      <c r="E10" s="229">
        <f>IF(ISNUMBER(Datos!J10),Datos!J10," - ")</f>
        <v>35</v>
      </c>
      <c r="F10" s="229">
        <f>IF(ISNUMBER(Datos!K10),Datos!K10," - ")</f>
        <v>15</v>
      </c>
      <c r="G10" s="1037" t="str">
        <f>IF(Datos!E10&lt;&gt;"",Datos!E10,Datos!D10)</f>
        <v>37</v>
      </c>
      <c r="H10" s="230">
        <f>IF(ISNUMBER(Datos!L10),Datos!L10," - ")</f>
        <v>43</v>
      </c>
      <c r="I10" s="1047" t="str">
        <f>IF(ISNUMBER(Datos!AS10/Datos!BM10),Datos!AS10/Datos!BM10," - ")</f>
        <v xml:space="preserve"> - </v>
      </c>
      <c r="J10" s="1048">
        <f>IF(ISNUMBER(Datos!BY10/Datos!CN10),Datos!BY10/Datos!CN10," - ")</f>
        <v>0</v>
      </c>
      <c r="K10" s="233">
        <f t="shared" ref="K10:K12" si="1">IF(ISNUMBER((E10-F10)/C10),(E10-F10)/C10," - ")</f>
        <v>0.86956521739130432</v>
      </c>
      <c r="L10" s="1028">
        <f>IF(ISNUMBER(NºAsuntos!I10/NºAsuntos!G10),(NºAsuntos!I10/NºAsuntos!G10)*11," - ")</f>
        <v>31.533333333333335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8.4209039548022595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23</v>
      </c>
      <c r="D13" s="1052">
        <f>SUBTOTAL(9,D9:D12)</f>
        <v>23</v>
      </c>
      <c r="E13" s="1053">
        <f>SUBTOTAL(9,E9:E12)</f>
        <v>35</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767</v>
      </c>
      <c r="D16" s="228">
        <f>IF(ISNUMBER(IF(D_I="SI",Datos!I16,Datos!I16+Datos!AC16)),IF(D_I="SI",Datos!I16,Datos!I16+Datos!AC16)," - ")</f>
        <v>714</v>
      </c>
      <c r="E16" s="229">
        <f>IF(ISNUMBER(IF(D_I="SI",Datos!J16,Datos!J16+Datos!AD16)),IF(D_I="SI",Datos!J16,Datos!J16+Datos!AD16)," - ")</f>
        <v>2814</v>
      </c>
      <c r="F16" s="229">
        <f>IF(ISNUMBER(IF(D_I="SI",Datos!K16,Datos!K16+Datos!AE16)),IF(D_I="SI",Datos!K16,Datos!K16+Datos!AE16)," - ")</f>
        <v>2542</v>
      </c>
      <c r="G16" s="1037" t="str">
        <f>IF(Datos!E16&lt;&gt;"",Datos!E16,Datos!D16)</f>
        <v>04</v>
      </c>
      <c r="H16" s="230">
        <f>IF(ISNUMBER(IF(D_I="SI",Datos!L16,Datos!L16+Datos!AF16)),IF(D_I="SI",Datos!L16,Datos!L16+Datos!AF16)," - ")</f>
        <v>1039</v>
      </c>
      <c r="I16" s="1047" t="str">
        <f>IF(ISNUMBER(Datos!AS16/Datos!BM16),Datos!AS16/Datos!BM16," - ")</f>
        <v xml:space="preserve"> - </v>
      </c>
      <c r="J16" s="1048">
        <f>IF(ISNUMBER(Datos!BY16/Datos!CN16),Datos!BY16/Datos!CN16," - ")</f>
        <v>0</v>
      </c>
      <c r="K16" s="233">
        <f t="shared" si="3"/>
        <v>0.35462842242503262</v>
      </c>
      <c r="L16" s="1028">
        <f>IF(ISNUMBER(NºAsuntos!I16/NºAsuntos!G16),(NºAsuntos!I16/NºAsuntos!G16)*11," - ")</f>
        <v>4.496066089693155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36</v>
      </c>
      <c r="D17" s="228">
        <f>IF(ISNUMBER(IF(D_I="SI",Datos!I17,Datos!I17+Datos!AC17)),IF(D_I="SI",Datos!I17,Datos!I17+Datos!AC17)," - ")</f>
        <v>32</v>
      </c>
      <c r="E17" s="229">
        <f>IF(ISNUMBER(IF(D_I="SI",Datos!J17,Datos!J17+Datos!AD17)),IF(D_I="SI",Datos!J17,Datos!J17+Datos!AD17)," - ")</f>
        <v>305</v>
      </c>
      <c r="F17" s="229">
        <f>IF(ISNUMBER(IF(D_I="SI",Datos!K17,Datos!K17+Datos!AE17)),IF(D_I="SI",Datos!K17,Datos!K17+Datos!AE17)," - ")</f>
        <v>274</v>
      </c>
      <c r="G17" s="1037" t="str">
        <f>IF(Datos!E17&lt;&gt;"",Datos!E17,Datos!D17)</f>
        <v>37</v>
      </c>
      <c r="H17" s="230">
        <f>IF(ISNUMBER(IF(D_I="SI",Datos!L17,Datos!L17+Datos!AF17)),IF(D_I="SI",Datos!L17,Datos!L17+Datos!AF17)," - ")</f>
        <v>67</v>
      </c>
      <c r="I17" s="1047" t="str">
        <f>IF(ISNUMBER(Datos!AS17/Datos!BM17),Datos!AS17/Datos!BM17," - ")</f>
        <v xml:space="preserve"> - </v>
      </c>
      <c r="J17" s="1048" t="str">
        <f>IF(ISNUMBER((Datos!BY17+Datos!BZ17)/Datos!CN17),(Datos!BY17+Datos!BZ17)/Datos!CN17," - ")</f>
        <v xml:space="preserve"> - </v>
      </c>
      <c r="K17" s="233">
        <f t="shared" si="3"/>
        <v>0.86111111111111116</v>
      </c>
      <c r="L17" s="1028">
        <f>IF(ISNUMBER(NºAsuntos!I17/NºAsuntos!G17),(NºAsuntos!I17/NºAsuntos!G17)*11," - ")</f>
        <v>2.6897810218978102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803</v>
      </c>
      <c r="D18" s="1052">
        <f>SUBTOTAL(9,D15:D17)</f>
        <v>746</v>
      </c>
      <c r="E18" s="1053">
        <f>SUBTOTAL(9,E15:E17)</f>
        <v>3119</v>
      </c>
      <c r="F18" s="1053">
        <f>SUBTOTAL(9,F15:F17)</f>
        <v>2816</v>
      </c>
      <c r="G18" s="1055" t="str">
        <f ca="1">INDIRECT(CONCATENATE("G",ROW()-1))</f>
        <v>37</v>
      </c>
      <c r="H18" s="1056">
        <f ca="1">SUMIF(G$14:G17,G18,H$14:H17)</f>
        <v>67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826</v>
      </c>
      <c r="D19" s="1074">
        <f>SUBTOTAL(9,D9:D18)</f>
        <v>769</v>
      </c>
      <c r="E19" s="1075">
        <f>SUBTOTAL(9,E9:E18)</f>
        <v>3154</v>
      </c>
      <c r="F19" s="1075">
        <f>SUBTOTAL(9,F9:F18)</f>
        <v>2831</v>
      </c>
      <c r="G19" s="1076"/>
      <c r="H19" s="1077">
        <f ca="1">SUMIF(B9:B18,"TOTAL",H9:H18)</f>
        <v>67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5TQ4JnkWAEkcBjw2FiIjkKP2vxbT81QHoXwq7kKlBQrpz2FwKHYgAU+GuuqZEPbbI+n/ShcdZzUJAmzwbsvwKQ==" saltValue="XWcfKqyOHkSG4LaPIve6L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mOM0vQnq7Ydg/+y1saIuHtOTPhz/MM6xb1klk9XgK3YczzUep8Ih4NbLwSFo2gu0g2mB3GU76fXn9vTDfzy4MQ==" saltValue="g0VI4l8h8EmQ+sWzV3qK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23</v>
      </c>
      <c r="J10" s="184">
        <v>35</v>
      </c>
      <c r="K10" s="184">
        <v>15</v>
      </c>
      <c r="L10" s="184">
        <v>43</v>
      </c>
      <c r="M10" s="184">
        <v>8</v>
      </c>
      <c r="N10" s="184">
        <v>6</v>
      </c>
      <c r="O10" s="184">
        <v>1</v>
      </c>
      <c r="P10" s="184">
        <v>3</v>
      </c>
      <c r="Q10" s="184">
        <v>0</v>
      </c>
      <c r="R10" s="184">
        <v>13</v>
      </c>
      <c r="S10" s="184">
        <v>21</v>
      </c>
      <c r="T10" s="184">
        <v>24</v>
      </c>
      <c r="U10" s="184">
        <v>22</v>
      </c>
      <c r="V10" s="184">
        <v>23</v>
      </c>
      <c r="W10" s="184">
        <v>16</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21</v>
      </c>
      <c r="AZ10" s="129">
        <f t="shared" si="0"/>
        <v>24</v>
      </c>
      <c r="BA10" s="129">
        <f t="shared" si="0"/>
        <v>22</v>
      </c>
      <c r="BB10" s="129">
        <f t="shared" si="0"/>
        <v>23</v>
      </c>
      <c r="BC10" s="125">
        <f t="shared" si="0"/>
        <v>16</v>
      </c>
      <c r="BD10" s="126">
        <f>IF(ISNUMBER(BA10/AZ10),BA10/AZ10," - ")</f>
        <v>0.91666666666666663</v>
      </c>
      <c r="BE10" s="127">
        <f>IF(ISNUMBER(BB10/BA10),BB10/BA10, " - ")</f>
        <v>1.0454545454545454</v>
      </c>
      <c r="BF10" s="127">
        <f>IF(ISNUMBER(BC10/BA10),BC10/BA10, " - ")</f>
        <v>0.72727272727272729</v>
      </c>
      <c r="BG10" s="199">
        <f>IF(ISNUMBER((AY10+AZ10)/BA10),(AY10+AZ10)/BA10," - ")</f>
        <v>2.0454545454545454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1715</v>
      </c>
      <c r="J12" s="186">
        <v>3678</v>
      </c>
      <c r="K12" s="186">
        <v>2987</v>
      </c>
      <c r="L12" s="186">
        <v>2405</v>
      </c>
      <c r="M12" s="186">
        <v>741</v>
      </c>
      <c r="N12" s="186">
        <v>1533</v>
      </c>
      <c r="O12" s="184">
        <v>970</v>
      </c>
      <c r="P12" s="186">
        <v>622</v>
      </c>
      <c r="Q12" s="186">
        <v>346</v>
      </c>
      <c r="R12" s="186">
        <v>3829</v>
      </c>
      <c r="S12" s="186">
        <v>1566</v>
      </c>
      <c r="T12" s="186">
        <v>2789</v>
      </c>
      <c r="U12" s="186">
        <v>2866</v>
      </c>
      <c r="V12" s="186">
        <v>1715</v>
      </c>
      <c r="W12" s="186">
        <v>666</v>
      </c>
      <c r="X12" s="192">
        <v>1524</v>
      </c>
      <c r="Y12" s="194">
        <v>38</v>
      </c>
      <c r="Z12" s="184">
        <v>195</v>
      </c>
      <c r="AA12" s="184">
        <v>199</v>
      </c>
      <c r="AB12" s="184">
        <v>34</v>
      </c>
      <c r="AC12" s="186">
        <v>0</v>
      </c>
      <c r="AD12" s="186">
        <v>0</v>
      </c>
      <c r="AE12" s="186">
        <v>0</v>
      </c>
      <c r="AF12" s="192">
        <v>0</v>
      </c>
      <c r="AG12" s="205">
        <v>44</v>
      </c>
      <c r="AH12" s="186">
        <v>231</v>
      </c>
      <c r="AI12" s="186">
        <v>248</v>
      </c>
      <c r="AJ12" s="206">
        <v>38</v>
      </c>
      <c r="AK12" s="185">
        <v>0</v>
      </c>
      <c r="AL12" s="186">
        <v>0</v>
      </c>
      <c r="AM12" s="186">
        <v>0</v>
      </c>
      <c r="AN12" s="192">
        <v>0</v>
      </c>
      <c r="AO12" s="262">
        <v>3</v>
      </c>
      <c r="AP12" s="158">
        <v>3</v>
      </c>
      <c r="AQ12" s="158">
        <v>3</v>
      </c>
      <c r="AR12" s="157">
        <v>3</v>
      </c>
      <c r="AS12" s="343" t="s">
        <v>803</v>
      </c>
      <c r="AT12" s="206"/>
      <c r="AU12" s="205"/>
      <c r="AV12" s="206"/>
      <c r="AW12" s="205"/>
      <c r="AX12" s="206"/>
      <c r="AY12" s="126">
        <f t="shared" si="1"/>
        <v>1610</v>
      </c>
      <c r="AZ12" s="127">
        <f t="shared" si="1"/>
        <v>3020</v>
      </c>
      <c r="BA12" s="127">
        <f t="shared" si="1"/>
        <v>3114</v>
      </c>
      <c r="BB12" s="127">
        <f t="shared" si="1"/>
        <v>1753</v>
      </c>
      <c r="BC12" s="125">
        <f>IF(ISNUMBER(X12),X12," - ")</f>
        <v>1524</v>
      </c>
      <c r="BD12" s="126">
        <f t="shared" si="2"/>
        <v>1.0311258278145696</v>
      </c>
      <c r="BE12" s="127">
        <f t="shared" si="3"/>
        <v>0.56294155427103409</v>
      </c>
      <c r="BF12" s="127">
        <f t="shared" si="4"/>
        <v>0.48940269749518306</v>
      </c>
      <c r="BG12" s="199">
        <f t="shared" si="5"/>
        <v>1.4868336544637122</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1738</v>
      </c>
      <c r="J13" s="187">
        <f t="shared" si="6"/>
        <v>3713</v>
      </c>
      <c r="K13" s="187">
        <f t="shared" si="6"/>
        <v>3002</v>
      </c>
      <c r="L13" s="187">
        <f t="shared" si="6"/>
        <v>2448</v>
      </c>
      <c r="M13" s="187">
        <f t="shared" si="6"/>
        <v>749</v>
      </c>
      <c r="N13" s="187">
        <f t="shared" si="6"/>
        <v>1539</v>
      </c>
      <c r="O13" s="187">
        <f t="shared" si="6"/>
        <v>971</v>
      </c>
      <c r="P13" s="187">
        <f t="shared" si="6"/>
        <v>625</v>
      </c>
      <c r="Q13" s="187">
        <f t="shared" si="6"/>
        <v>346</v>
      </c>
      <c r="R13" s="187">
        <f t="shared" si="6"/>
        <v>3842</v>
      </c>
      <c r="S13" s="187">
        <f t="shared" si="6"/>
        <v>1587</v>
      </c>
      <c r="T13" s="187">
        <f t="shared" si="6"/>
        <v>2813</v>
      </c>
      <c r="U13" s="187">
        <f t="shared" si="6"/>
        <v>2888</v>
      </c>
      <c r="V13" s="187">
        <f t="shared" si="6"/>
        <v>1738</v>
      </c>
      <c r="W13" s="187">
        <f t="shared" si="6"/>
        <v>682</v>
      </c>
      <c r="X13" s="187">
        <f t="shared" si="6"/>
        <v>1527</v>
      </c>
      <c r="Y13" s="187">
        <f t="shared" si="6"/>
        <v>38</v>
      </c>
      <c r="Z13" s="187">
        <f t="shared" si="6"/>
        <v>195</v>
      </c>
      <c r="AA13" s="187">
        <f t="shared" si="6"/>
        <v>199</v>
      </c>
      <c r="AB13" s="187">
        <f t="shared" si="6"/>
        <v>34</v>
      </c>
      <c r="AC13" s="187">
        <f t="shared" si="6"/>
        <v>0</v>
      </c>
      <c r="AD13" s="187">
        <f t="shared" si="6"/>
        <v>0</v>
      </c>
      <c r="AE13" s="187">
        <f t="shared" si="6"/>
        <v>0</v>
      </c>
      <c r="AF13" s="187">
        <f>SUBTOTAL(9,AF9:AF12)</f>
        <v>0</v>
      </c>
      <c r="AG13" s="187">
        <f t="shared" ref="AG13:AT13" si="7">SUBTOTAL(9,AG8:AG12)</f>
        <v>44</v>
      </c>
      <c r="AH13" s="187">
        <f t="shared" si="7"/>
        <v>231</v>
      </c>
      <c r="AI13" s="187">
        <f t="shared" si="7"/>
        <v>248</v>
      </c>
      <c r="AJ13" s="187">
        <f t="shared" si="7"/>
        <v>38</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1631</v>
      </c>
      <c r="AZ13" s="187">
        <f>SUBTOTAL(9,AZ8:AZ12)</f>
        <v>3044</v>
      </c>
      <c r="BA13" s="187">
        <f>SUBTOTAL(9,BA8:BA12)</f>
        <v>3136</v>
      </c>
      <c r="BB13" s="187">
        <f>SUBTOTAL(9,BB8:BB12)</f>
        <v>1776</v>
      </c>
      <c r="BC13" s="187">
        <f>SUBTOTAL(9,BC8:BC12)</f>
        <v>1540</v>
      </c>
      <c r="BD13" s="208">
        <f>IF(ISNUMBER(BA13/AZ13),BA13/AZ13," - ")</f>
        <v>1.0302233902759528</v>
      </c>
      <c r="BE13" s="209">
        <f>IF(ISNUMBER(BB13/BA13),BB13/BA13, " - ")</f>
        <v>0.56632653061224492</v>
      </c>
      <c r="BF13" s="209">
        <f>IF(ISNUMBER(BC13/BA13),BC13/BA13, " - ")</f>
        <v>0.49107142857142855</v>
      </c>
      <c r="BG13" s="210">
        <f>IF(ISNUMBER((AY13+AZ13)/BA13),(AY13+AZ13)/BA13," - ")</f>
        <v>1.4907525510204083</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714</v>
      </c>
      <c r="J16" s="186">
        <v>2814</v>
      </c>
      <c r="K16" s="186">
        <v>2542</v>
      </c>
      <c r="L16" s="186">
        <v>1039</v>
      </c>
      <c r="M16" s="186">
        <v>416</v>
      </c>
      <c r="N16" s="186">
        <v>1527</v>
      </c>
      <c r="O16" s="184">
        <v>19</v>
      </c>
      <c r="P16" s="186">
        <v>93</v>
      </c>
      <c r="Q16" s="186">
        <v>71</v>
      </c>
      <c r="R16" s="186">
        <v>182</v>
      </c>
      <c r="S16" s="186">
        <v>817</v>
      </c>
      <c r="T16" s="186">
        <v>2534</v>
      </c>
      <c r="U16" s="186">
        <v>2527</v>
      </c>
      <c r="V16" s="186">
        <v>714</v>
      </c>
      <c r="W16" s="186">
        <v>373</v>
      </c>
      <c r="X16" s="192">
        <v>1522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487</v>
      </c>
      <c r="AT16" s="206"/>
      <c r="AU16" s="205"/>
      <c r="AV16" s="206"/>
      <c r="AW16" s="205"/>
      <c r="AX16" s="206"/>
      <c r="AY16" s="126">
        <f t="shared" si="9"/>
        <v>817</v>
      </c>
      <c r="AZ16" s="127">
        <f t="shared" si="9"/>
        <v>2534</v>
      </c>
      <c r="BA16" s="127">
        <f t="shared" si="9"/>
        <v>2527</v>
      </c>
      <c r="BB16" s="127">
        <f t="shared" si="9"/>
        <v>714</v>
      </c>
      <c r="BC16" s="125">
        <f>IF(ISNUMBER(W16),W16," - ")</f>
        <v>373</v>
      </c>
      <c r="BD16" s="126">
        <f t="shared" ref="BD16" si="11">IF(ISNUMBER(BA16/AZ16),BA16/AZ16," - ")</f>
        <v>0.99723756906077343</v>
      </c>
      <c r="BE16" s="127">
        <f t="shared" ref="BE16" si="12">IF(ISNUMBER(BB16/BA16),BB16/BA16, " - ")</f>
        <v>0.28254847645429365</v>
      </c>
      <c r="BF16" s="127">
        <f t="shared" ref="BF16" si="13">IF(ISNUMBER(BC16/BA16),BC16/BA16, " - ")</f>
        <v>0.14760585674713098</v>
      </c>
      <c r="BG16" s="199">
        <f t="shared" si="10"/>
        <v>1.3260783537791847</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32</v>
      </c>
      <c r="J17" s="186">
        <v>305</v>
      </c>
      <c r="K17" s="186">
        <v>274</v>
      </c>
      <c r="L17" s="186">
        <v>67</v>
      </c>
      <c r="M17" s="186">
        <v>72</v>
      </c>
      <c r="N17" s="186">
        <v>204</v>
      </c>
      <c r="O17" s="186">
        <v>2</v>
      </c>
      <c r="P17" s="186">
        <v>0</v>
      </c>
      <c r="Q17" s="186">
        <v>2</v>
      </c>
      <c r="R17" s="186">
        <v>1</v>
      </c>
      <c r="S17" s="186">
        <v>49</v>
      </c>
      <c r="T17" s="186">
        <v>272</v>
      </c>
      <c r="U17" s="186">
        <v>292</v>
      </c>
      <c r="V17" s="186">
        <v>32</v>
      </c>
      <c r="W17" s="186">
        <v>48</v>
      </c>
      <c r="X17" s="192">
        <v>226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49</v>
      </c>
      <c r="AZ17" s="129">
        <f t="shared" si="14"/>
        <v>272</v>
      </c>
      <c r="BA17" s="129">
        <f t="shared" si="14"/>
        <v>292</v>
      </c>
      <c r="BB17" s="129">
        <f t="shared" si="14"/>
        <v>32</v>
      </c>
      <c r="BC17" s="125">
        <f>IF(ISNUMBER(W17),W17," - ")</f>
        <v>48</v>
      </c>
      <c r="BD17" s="126">
        <f>IF(ISNUMBER(BA17/AZ17),BA17/AZ17," - ")</f>
        <v>1.0735294117647058</v>
      </c>
      <c r="BE17" s="127">
        <f>IF(ISNUMBER(BB17/BA17),BB17/BA17, " - ")</f>
        <v>0.1095890410958904</v>
      </c>
      <c r="BF17" s="127">
        <f>IF(ISNUMBER(BC17/BA17),BC17/BA17, " - ")</f>
        <v>0.16438356164383561</v>
      </c>
      <c r="BG17" s="199">
        <f>IF(ISNUMBER((AY17+AZ17)/BA17),(AY17+AZ17)/BA17," - ")</f>
        <v>1.0993150684931507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746</v>
      </c>
      <c r="J18" s="187">
        <f t="shared" si="15"/>
        <v>3119</v>
      </c>
      <c r="K18" s="187">
        <f t="shared" si="15"/>
        <v>2816</v>
      </c>
      <c r="L18" s="187">
        <f t="shared" si="15"/>
        <v>1106</v>
      </c>
      <c r="M18" s="187">
        <f t="shared" si="15"/>
        <v>488</v>
      </c>
      <c r="N18" s="187">
        <f t="shared" si="15"/>
        <v>1731</v>
      </c>
      <c r="O18" s="187">
        <f t="shared" si="15"/>
        <v>21</v>
      </c>
      <c r="P18" s="187">
        <f t="shared" si="15"/>
        <v>93</v>
      </c>
      <c r="Q18" s="187">
        <f t="shared" si="15"/>
        <v>73</v>
      </c>
      <c r="R18" s="187">
        <f t="shared" si="15"/>
        <v>183</v>
      </c>
      <c r="S18" s="187">
        <f t="shared" si="15"/>
        <v>866</v>
      </c>
      <c r="T18" s="187">
        <f t="shared" si="15"/>
        <v>2806</v>
      </c>
      <c r="U18" s="187">
        <f t="shared" si="15"/>
        <v>2819</v>
      </c>
      <c r="V18" s="187">
        <f t="shared" si="15"/>
        <v>746</v>
      </c>
      <c r="W18" s="187">
        <f t="shared" si="15"/>
        <v>421</v>
      </c>
      <c r="X18" s="187">
        <f t="shared" si="15"/>
        <v>1748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866</v>
      </c>
      <c r="AZ18" s="187">
        <f>SUBTOTAL(9,AZ14:AZ17)</f>
        <v>2806</v>
      </c>
      <c r="BA18" s="187">
        <f>SUBTOTAL(9,BA14:BA17)</f>
        <v>2819</v>
      </c>
      <c r="BB18" s="187">
        <f>SUBTOTAL(9,BB14:BB17)</f>
        <v>746</v>
      </c>
      <c r="BC18" s="187">
        <f>SUBTOTAL(9,BC14:BC17)</f>
        <v>421</v>
      </c>
      <c r="BD18" s="208">
        <f>IF(ISNUMBER(BA18/AZ18),BA18/AZ18," - ")</f>
        <v>1.004632929436921</v>
      </c>
      <c r="BE18" s="209">
        <f>IF(ISNUMBER(BB18/BA18),BB18/BA18, " - ")</f>
        <v>0.26463284852784674</v>
      </c>
      <c r="BF18" s="209">
        <f>IF(ISNUMBER(BC18/BA18),BC18/BA18, " - ")</f>
        <v>0.14934373891450869</v>
      </c>
      <c r="BG18" s="210">
        <f>IF(ISNUMBER((AY18+AZ18)/BA18),(AY18+AZ18)/BA18," - ")</f>
        <v>1.3025895707697766</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2484</v>
      </c>
      <c r="J19" s="134">
        <f t="shared" si="18"/>
        <v>6832</v>
      </c>
      <c r="K19" s="134">
        <f t="shared" si="18"/>
        <v>5818</v>
      </c>
      <c r="L19" s="134">
        <f t="shared" si="18"/>
        <v>3554</v>
      </c>
      <c r="M19" s="134">
        <f t="shared" si="18"/>
        <v>1237</v>
      </c>
      <c r="N19" s="134">
        <f t="shared" si="18"/>
        <v>3270</v>
      </c>
      <c r="O19" s="134">
        <f t="shared" si="18"/>
        <v>992</v>
      </c>
      <c r="P19" s="134">
        <f t="shared" si="18"/>
        <v>718</v>
      </c>
      <c r="Q19" s="134">
        <f t="shared" si="18"/>
        <v>419</v>
      </c>
      <c r="R19" s="134">
        <f t="shared" si="18"/>
        <v>4025</v>
      </c>
      <c r="S19" s="134">
        <f t="shared" si="18"/>
        <v>2453</v>
      </c>
      <c r="T19" s="134">
        <f t="shared" si="18"/>
        <v>5619</v>
      </c>
      <c r="U19" s="134">
        <f t="shared" si="18"/>
        <v>5707</v>
      </c>
      <c r="V19" s="134">
        <f t="shared" si="18"/>
        <v>2484</v>
      </c>
      <c r="W19" s="134">
        <f t="shared" si="18"/>
        <v>1103</v>
      </c>
      <c r="X19" s="134">
        <f t="shared" si="18"/>
        <v>3275</v>
      </c>
      <c r="Y19" s="134">
        <f t="shared" si="18"/>
        <v>38</v>
      </c>
      <c r="Z19" s="134">
        <f t="shared" si="18"/>
        <v>195</v>
      </c>
      <c r="AA19" s="134">
        <f t="shared" si="18"/>
        <v>199</v>
      </c>
      <c r="AB19" s="134">
        <f t="shared" si="18"/>
        <v>34</v>
      </c>
      <c r="AC19" s="134">
        <f t="shared" si="18"/>
        <v>0</v>
      </c>
      <c r="AD19" s="134">
        <f t="shared" si="18"/>
        <v>0</v>
      </c>
      <c r="AE19" s="134">
        <f t="shared" si="18"/>
        <v>0</v>
      </c>
      <c r="AF19" s="134">
        <f t="shared" si="18"/>
        <v>0</v>
      </c>
      <c r="AG19" s="134">
        <f t="shared" si="18"/>
        <v>44</v>
      </c>
      <c r="AH19" s="134">
        <f t="shared" si="18"/>
        <v>231</v>
      </c>
      <c r="AI19" s="134">
        <f t="shared" si="18"/>
        <v>248</v>
      </c>
      <c r="AJ19" s="134">
        <f t="shared" si="18"/>
        <v>38</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2497</v>
      </c>
      <c r="AZ19" s="134">
        <f>SUBTOTAL(9,AZ9:AZ18)</f>
        <v>5850</v>
      </c>
      <c r="BA19" s="134">
        <f>SUBTOTAL(9,BA9:BA18)</f>
        <v>5955</v>
      </c>
      <c r="BB19" s="134">
        <f>SUBTOTAL(9,BB9:BB18)</f>
        <v>2522</v>
      </c>
      <c r="BC19" s="135">
        <f>SUBTOTAL(9,BC9:BC18)</f>
        <v>1961</v>
      </c>
      <c r="BD19" s="216">
        <f>IF(ISNUMBER(BA19/AZ19),BA19/AZ19," - ")</f>
        <v>1.0179487179487179</v>
      </c>
      <c r="BE19" s="213">
        <f>IF(ISNUMBER(BB19/BA19),BB19/BA19, " - ")</f>
        <v>0.42350965575146937</v>
      </c>
      <c r="BF19" s="213">
        <f>IF(ISNUMBER(BC19/BA19),BC19/BA19, " - ")</f>
        <v>0.32930310663308143</v>
      </c>
      <c r="BG19" s="135">
        <f>IF(ISNUMBER((AY19+AZ19)/BA19),(AY19+AZ19)/BA19," - ")</f>
        <v>1.401679261125105</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MumUzm6GLa9Flpl4TC+NioQ+jH2Jd7WUUb/AZ3TRoLzyAzPeW2++VecH9zPQ9wD0e3CRUoeUEdllo/qQdGXWQ==" saltValue="Etn6YLMaD+4XhFhDel8XM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UjyDwzZ10wZLYSrLJ0rthACHfwN7PZbI/C5Pxm/bVmnonUrf/buOaQrq2bitvZHX2TtznnGpN2a3lKd6F2WPQ==" saltValue="cRkCXAaj5AsiQl6bR2v9F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PUERTOLLANO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23</v>
      </c>
      <c r="G10" s="336">
        <f>IF(ISNUMBER(Datos!I10),Datos!I10," - ")</f>
        <v>23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0</v>
      </c>
      <c r="AD10" s="337"/>
      <c r="AE10" s="487"/>
      <c r="AF10" s="335">
        <f>IF(ISNUMBER(Datos!L10),Datos!L10,"-")</f>
        <v>43</v>
      </c>
      <c r="AG10" s="337"/>
      <c r="AH10" s="337"/>
      <c r="AI10" s="337"/>
      <c r="AJ10" s="337"/>
      <c r="AK10" s="337"/>
      <c r="AL10" s="482"/>
      <c r="AM10" s="338">
        <f>IF(ISNUMBER(Datos!R10),Datos!R10," - ")</f>
        <v>13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6</v>
      </c>
      <c r="BE10" s="232" t="str">
        <f>IF(ISNUMBER(Datos!BW10),Datos!BW10," - ")</f>
        <v xml:space="preserve"> - </v>
      </c>
      <c r="BF10" s="231" t="str">
        <f>IF(ISNUMBER(Datos!BX10),Datos!BX10," - ")</f>
        <v xml:space="preserve"> - </v>
      </c>
      <c r="BG10" s="246">
        <f>IF(ISNUMBER(Datos!K10/Datos!J10),Datos!K10/Datos!J10," - ")</f>
        <v>0.42857142857142855</v>
      </c>
      <c r="BH10" s="263">
        <f>IF(ISNUMBER(((Datos!L10/Datos!K10)*11)/factor_trimestre),((Datos!L10/Datos!K10)*11)/factor_trimestre," - ")</f>
        <v>31.533333333333335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195</v>
      </c>
      <c r="O12" s="337"/>
      <c r="P12" s="337"/>
      <c r="Q12" s="229">
        <f>IF(ISNUMBER(Datos!P12),Datos!P12,0)</f>
        <v>622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346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34</v>
      </c>
      <c r="AI12" s="337" t="str">
        <f>IF(ISNUMBER(Datos!CD12),Datos!CD12,"-")</f>
        <v>-</v>
      </c>
      <c r="AJ12" s="337" t="str">
        <f>IF(ISNUMBER(Datos!EN12),Datos!EN12," - ")</f>
        <v xml:space="preserve"> - </v>
      </c>
      <c r="AK12" s="337"/>
      <c r="AL12" s="482"/>
      <c r="AM12" s="338">
        <f>IF(ISNUMBER(Datos!R12),Datos!R12," - ")</f>
        <v>3829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741</v>
      </c>
      <c r="BD12" s="232">
        <f>IF(ISNUMBER(Datos!N12),Datos!N12," - ")</f>
        <v>1533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0.82261812548412083</v>
      </c>
      <c r="BH12" s="263">
        <f>IF(ISNUMBER(((IF(J_V="SI",Datos!L12/Datos!K12,(Datos!L12+Datos!AB12)/(Datos!K12+Datos!AA12)))*11)/factor_trimestre),((IF(J_V="SI",Datos!L12/Datos!K12,(Datos!L12+Datos!AB12)/(Datos!K12+Datos!AA12)))*11)/factor_trimestre," - ")</f>
        <v>8.4209039548022595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7.7680833098789759E-2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23</v>
      </c>
      <c r="G13" s="901">
        <f t="shared" si="0"/>
        <v>23</v>
      </c>
      <c r="H13" s="902">
        <f t="shared" si="0"/>
        <v>0</v>
      </c>
      <c r="I13" s="901">
        <f t="shared" si="0"/>
        <v>0</v>
      </c>
      <c r="J13" s="870">
        <f t="shared" si="0"/>
        <v>0</v>
      </c>
      <c r="K13" s="870">
        <f t="shared" si="0"/>
        <v>0</v>
      </c>
      <c r="L13" s="902">
        <f t="shared" si="0"/>
        <v>0</v>
      </c>
      <c r="M13" s="902">
        <f t="shared" si="0"/>
        <v>0</v>
      </c>
      <c r="N13" s="902">
        <f t="shared" si="0"/>
        <v>195</v>
      </c>
      <c r="O13" s="903">
        <f t="shared" si="0"/>
        <v>0</v>
      </c>
      <c r="P13" s="903">
        <f t="shared" si="0"/>
        <v>0</v>
      </c>
      <c r="Q13" s="902">
        <f t="shared" si="0"/>
        <v>625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346</v>
      </c>
      <c r="AD13" s="902">
        <f t="shared" si="1"/>
        <v>0</v>
      </c>
      <c r="AE13" s="902">
        <f t="shared" si="1"/>
        <v>0</v>
      </c>
      <c r="AF13" s="902">
        <f t="shared" si="1"/>
        <v>43</v>
      </c>
      <c r="AG13" s="902">
        <f t="shared" si="1"/>
        <v>0</v>
      </c>
      <c r="AH13" s="902">
        <f t="shared" si="1"/>
        <v>34</v>
      </c>
      <c r="AI13" s="902">
        <f t="shared" si="1"/>
        <v>0</v>
      </c>
      <c r="AJ13" s="902">
        <f t="shared" si="1"/>
        <v>0</v>
      </c>
      <c r="AK13" s="902">
        <f t="shared" si="1"/>
        <v>0</v>
      </c>
      <c r="AL13" s="902">
        <f t="shared" si="1"/>
        <v>0</v>
      </c>
      <c r="AM13" s="902">
        <f t="shared" si="1"/>
        <v>3842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749</v>
      </c>
      <c r="BD13" s="902">
        <f t="shared" si="1"/>
        <v>1539</v>
      </c>
      <c r="BE13" s="902">
        <f t="shared" si="1"/>
        <v>0</v>
      </c>
      <c r="BF13" s="902">
        <f t="shared" si="1"/>
        <v>0</v>
      </c>
      <c r="BG13" s="902">
        <f>IF(ISNUMBER(Datos!K13/Datos!J13),Datos!K13/Datos!J13," - ")</f>
        <v>0.80851063829787229</v>
      </c>
      <c r="BH13" s="906">
        <f>IF(ISNUMBER(((Datos!L13/Datos!K13)*11)/factor_trimestre),((Datos!L13/Datos!K13)*11)/factor_trimestre," - ")</f>
        <v>8.970019986675549</v>
      </c>
      <c r="BI13" s="902">
        <f>IF(ISNUMBER('Resol  Asuntos'!D13/NºAsuntos!G13),'Resol  Asuntos'!D13/NºAsuntos!G13," - ")</f>
        <v>0.23398937831927522</v>
      </c>
      <c r="BJ13" s="902" t="str">
        <f>IF(ISNUMBER(Datos!CI13/Datos!CJ13),Datos!CI13/Datos!CJ13," - ")</f>
        <v xml:space="preserve"> - </v>
      </c>
      <c r="BK13" s="902">
        <f>SUBTOTAL(9,BK8:BK12)</f>
        <v>0</v>
      </c>
      <c r="BL13" s="902">
        <f>IF(ISNUMBER((I13-AB13+L13)/(F13)),(I13-AB13+L13)/(F13)," - ")</f>
        <v>-0.65217391304347827</v>
      </c>
      <c r="BM13" s="907">
        <f>SUBTOTAL(9,BM9:BM12)</f>
        <v>0.37768083309878975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767</v>
      </c>
      <c r="G16" s="601">
        <f>IF(ISNUMBER(IF(D_I="SI",Datos!I16,Datos!I16+Datos!AC16)),IF(D_I="SI",Datos!I16,Datos!I16+Datos!AC16)," - ")</f>
        <v>714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2542</v>
      </c>
      <c r="AC16" s="229">
        <f>IF(ISNUMBER(Datos!Q16),Datos!Q16," - ")</f>
        <v>71</v>
      </c>
      <c r="AD16" s="337"/>
      <c r="AE16" s="487"/>
      <c r="AF16" s="599">
        <f>IF(ISNUMBER(IF(D_I="SI",Datos!L16,Datos!L16+Datos!AF16)),IF(D_I="SI",Datos!L16,Datos!L16+Datos!AF16)," - ")</f>
        <v>1039</v>
      </c>
      <c r="AG16" s="337"/>
      <c r="AH16" s="337"/>
      <c r="AI16" s="337"/>
      <c r="AJ16" s="337"/>
      <c r="AK16" s="337"/>
      <c r="AL16" s="482"/>
      <c r="AM16" s="338">
        <f>IF(ISNUMBER(Datos!R16),Datos!R16," - ")</f>
        <v>182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416</v>
      </c>
      <c r="BD16" s="232">
        <f>IF(ISNUMBER(Datos!N16),Datos!N16," - ")</f>
        <v>1527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0.90334044065387353</v>
      </c>
      <c r="BH16" s="263">
        <f>IF(ISNUMBER(((IF(D_I="SI",Datos!L16/Datos!K16,(Datos!L16+Datos!AF16)/(Datos!K16+Datos!AE16)))*11)/factor_trimestre),((IF(D_I="SI",Datos!L16/Datos!K16,(Datos!L16+Datos!AF16)/(Datos!K16+Datos!AE16)))*11)/factor_trimestre," - ")</f>
        <v>4.496066089693155</v>
      </c>
      <c r="BI16" s="246">
        <f>IF(ISNUMBER('Resol  Asuntos'!D16/NºAsuntos!G16),'Resol  Asuntos'!D16/NºAsuntos!G16," - ")</f>
        <v>0.16365066876475218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274</v>
      </c>
      <c r="AC17" s="229">
        <f>IF(ISNUMBER(Datos!Q17),Datos!Q17," - ")</f>
        <v>2</v>
      </c>
      <c r="AD17" s="337"/>
      <c r="AE17" s="487"/>
      <c r="AF17" s="335">
        <f>IF(ISNUMBER(Datos!L17),Datos!L17,"-")</f>
        <v>67</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72</v>
      </c>
      <c r="BD17" s="232">
        <f>IF(ISNUMBER(Datos!N17),Datos!N17," - ")</f>
        <v>204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0.89836065573770496</v>
      </c>
      <c r="BH17" s="263">
        <f>IF(ISNUMBER(((IF(D_I="SI",Datos!L17/Datos!K17,(Datos!L17+Datos!AF17)/(Datos!K17+Datos!AE17)))*11)/factor_trimestre),((IF(D_I="SI",Datos!L17/Datos!K17,(Datos!L17+Datos!AF17)/(Datos!K17+Datos!AE17)))*11)/factor_trimestre," - ")</f>
        <v>2.6897810218978102</v>
      </c>
      <c r="BI17" s="246">
        <f>IF(ISNUMBER('Resol  Asuntos'!D17/NºAsuntos!G17),'Resol  Asuntos'!D17/NºAsuntos!G17," - ")</f>
        <v>0.26277372262773724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767</v>
      </c>
      <c r="G18" s="901">
        <f>SUBTOTAL(9,G15:G17)</f>
        <v>746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2816</v>
      </c>
      <c r="AC18" s="902">
        <f t="shared" si="4"/>
        <v>73</v>
      </c>
      <c r="AD18" s="902">
        <f t="shared" si="4"/>
        <v>0</v>
      </c>
      <c r="AE18" s="902">
        <f t="shared" si="4"/>
        <v>0</v>
      </c>
      <c r="AF18" s="902">
        <f t="shared" si="4"/>
        <v>1106</v>
      </c>
      <c r="AG18" s="902">
        <f t="shared" si="4"/>
        <v>0</v>
      </c>
      <c r="AH18" s="902">
        <f t="shared" si="4"/>
        <v>0</v>
      </c>
      <c r="AI18" s="902">
        <f t="shared" si="4"/>
        <v>0</v>
      </c>
      <c r="AJ18" s="902">
        <f t="shared" si="4"/>
        <v>0</v>
      </c>
      <c r="AK18" s="902">
        <f t="shared" si="4"/>
        <v>0</v>
      </c>
      <c r="AL18" s="902">
        <f t="shared" si="4"/>
        <v>0</v>
      </c>
      <c r="AM18" s="902">
        <f t="shared" si="4"/>
        <v>183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488</v>
      </c>
      <c r="BD18" s="902">
        <f t="shared" si="4"/>
        <v>1731</v>
      </c>
      <c r="BE18" s="902">
        <f t="shared" si="4"/>
        <v>0</v>
      </c>
      <c r="BF18" s="902">
        <f t="shared" si="4"/>
        <v>0</v>
      </c>
      <c r="BG18" s="902">
        <f>IF(ISNUMBER(Datos!K18/Datos!J18),Datos!K18/Datos!J18," - ")</f>
        <v>0.90285347867906385</v>
      </c>
      <c r="BH18" s="906">
        <f>IF(ISNUMBER(((Datos!L18/Datos!K18)*11)/factor_trimestre),((Datos!L18/Datos!K18)*11)/factor_trimestre," - ")</f>
        <v>4.3203125</v>
      </c>
      <c r="BI18" s="902">
        <f>SUBTOTAL(9,BI15:BI17)</f>
        <v>0.42642439139248944</v>
      </c>
      <c r="BJ18" s="902">
        <f>SUBTOTAL(9,BJ15:BJ17)</f>
        <v>0</v>
      </c>
      <c r="BK18" s="902">
        <f>SUBTOTAL(9,BK15:BK17)</f>
        <v>0</v>
      </c>
      <c r="BL18" s="902">
        <f>IF(ISNUMBER((I18-AB18+L18)/(F18)),(I18-AB18+L18)/(F18)," - ")</f>
        <v>-3.6714471968709255</v>
      </c>
      <c r="BM18" s="908">
        <f>IF(ISNUMBER((Datos!P18-Datos!Q18)/(Datos!R18-Datos!P18+Datos!Q18)),(Datos!P18-Datos!Q18)/(Datos!R18-Datos!P18+Datos!Q18)," - ")</f>
        <v>0.12269938650306748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790</v>
      </c>
      <c r="G19" s="823">
        <f t="shared" si="6"/>
        <v>769</v>
      </c>
      <c r="H19" s="825">
        <f t="shared" si="6"/>
        <v>0</v>
      </c>
      <c r="I19" s="823">
        <f t="shared" si="6"/>
        <v>0</v>
      </c>
      <c r="J19" s="825">
        <f t="shared" si="6"/>
        <v>0</v>
      </c>
      <c r="K19" s="825">
        <f t="shared" si="6"/>
        <v>0</v>
      </c>
      <c r="L19" s="884">
        <f t="shared" si="6"/>
        <v>0</v>
      </c>
      <c r="M19" s="884">
        <f t="shared" si="6"/>
        <v>0</v>
      </c>
      <c r="N19" s="884">
        <f t="shared" si="6"/>
        <v>195</v>
      </c>
      <c r="O19" s="884">
        <f t="shared" si="6"/>
        <v>0</v>
      </c>
      <c r="P19" s="884">
        <f t="shared" si="6"/>
        <v>0</v>
      </c>
      <c r="Q19" s="825">
        <f t="shared" si="6"/>
        <v>718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2831</v>
      </c>
      <c r="AC19" s="824">
        <f t="shared" si="7"/>
        <v>419</v>
      </c>
      <c r="AD19" s="824">
        <f t="shared" si="7"/>
        <v>0</v>
      </c>
      <c r="AE19" s="824">
        <f t="shared" si="7"/>
        <v>0</v>
      </c>
      <c r="AF19" s="831">
        <f t="shared" si="7"/>
        <v>1149</v>
      </c>
      <c r="AG19" s="831">
        <f t="shared" si="7"/>
        <v>0</v>
      </c>
      <c r="AH19" s="831">
        <f t="shared" si="7"/>
        <v>34</v>
      </c>
      <c r="AI19" s="831">
        <f t="shared" si="7"/>
        <v>0</v>
      </c>
      <c r="AJ19" s="824">
        <f t="shared" si="7"/>
        <v>0</v>
      </c>
      <c r="AK19" s="831">
        <f t="shared" si="7"/>
        <v>0</v>
      </c>
      <c r="AL19" s="831">
        <f t="shared" si="7"/>
        <v>0</v>
      </c>
      <c r="AM19" s="831">
        <f t="shared" si="7"/>
        <v>4025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1237</v>
      </c>
      <c r="BD19" s="823">
        <f t="shared" si="7"/>
        <v>3270</v>
      </c>
      <c r="BE19" s="823">
        <f t="shared" si="7"/>
        <v>0</v>
      </c>
      <c r="BF19" s="833">
        <f t="shared" si="7"/>
        <v>0</v>
      </c>
      <c r="BG19" s="918">
        <f>IF(ISNUMBER(Datos!K19/Datos!J19),Datos!K19/Datos!J19," - ")</f>
        <v>0.85158079625292737</v>
      </c>
      <c r="BH19" s="918">
        <f>IF(ISNUMBER(((Datos!L19/Datos!K19)*11)/factor_trimestre),((Datos!L19/Datos!K19)*11)/factor_trimestre," - ")</f>
        <v>6.7194912341010653</v>
      </c>
      <c r="BI19" s="816">
        <f>IF(ISNUMBER(Datos!J19/Datos!I19),Datos!J19/Datos!I19," - ")</f>
        <v>2.7504025764895328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-3.5835443037974684</v>
      </c>
      <c r="BM19" s="892">
        <f>IF(ISNUMBER((Datos!P19-Datos!Q19+R19)/(Datos!R19-Datos!P19+Datos!Q19-R19)),(Datos!P19-Datos!Q19+R19)/(Datos!R19-Datos!P19+Datos!Q19-R19)," - ")</f>
        <v>8.0246913580246909E-2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307.60000000000002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429.54860027708156</v>
      </c>
      <c r="G21" s="555">
        <f>IF(ISNUMBER(STDEV(G8:G18)),STDEV(G8:G18),"-")</f>
        <v>385.78011872049598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1419.1103903502362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318.25063498234636</v>
      </c>
      <c r="BD21" s="554"/>
      <c r="BE21" s="554">
        <f>IF(ISNUMBER(STDEV(BE8:BE18)),STDEV(BE8:BE18),"-")</f>
        <v>0</v>
      </c>
      <c r="BF21" s="559">
        <f>IF(ISNUMBER(STDEV(BF8:BF18)),STDEV(BF8:BF18),"-")</f>
        <v>0</v>
      </c>
      <c r="BG21" s="778">
        <f>IF(ISNUMBER(STDEV(BG8:BG18)),STDEV(BG8:BG18),"-")</f>
        <v>0.18399083889017109</v>
      </c>
      <c r="BH21" s="779">
        <f>IF(ISNUMBER(STDEV(BH8:BH18)),STDEV(BH8:BH18),"-")</f>
        <v>10.799994548492966</v>
      </c>
      <c r="BI21" s="252">
        <f>IF(ISNUMBER(STDEV(BI8:BI18)),STDEV(BI8:BI18),"-")</f>
        <v>0.1112295888741936</v>
      </c>
      <c r="BJ21" s="233" t="str">
        <f>IF(ISNUMBER(BL21/BM21),BL21/BM21," - ")</f>
        <v xml:space="preserve"> - </v>
      </c>
      <c r="BK21" s="578"/>
      <c r="BL21" s="562">
        <f>IF(ISNUMBER(STDEV(BL8:BL18)),STDEV(BL8:BL18),"-")</f>
        <v>2.134948613249763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2Cplpg60mxnZyHPINnttAkZhASnnBNtMlgPq7aPwacmd8rbQYJqksipDSjs7m2DbJ/jPdYvGif0R7nTR5Towig==" saltValue="ztA1JUR0oXbKkWR321cP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PUERTOLLANO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23</v>
      </c>
      <c r="G10" s="228">
        <f>IF(ISNUMBER(Datos!I10),Datos!I10," - ")</f>
        <v>23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0</v>
      </c>
      <c r="AA10" s="335">
        <f>IF(ISNUMBER(Datos!L10),Datos!L10,"-")</f>
        <v>43</v>
      </c>
      <c r="AB10" s="337"/>
      <c r="AC10" s="337"/>
      <c r="AD10" s="487"/>
      <c r="AE10" s="487">
        <f>IF(ISNUMBER(Datos!R10),Datos!R10," - ")</f>
        <v>13</v>
      </c>
      <c r="AF10" s="232" t="str">
        <f>IF(ISNUMBER(Datos!BV10),Datos!BV10," - ")</f>
        <v xml:space="preserve"> - </v>
      </c>
      <c r="AG10" s="228" t="str">
        <f>IF(ISNUMBER(Datos!DV10),Datos!DV10," - ")</f>
        <v xml:space="preserve"> - </v>
      </c>
      <c r="AH10" s="301"/>
      <c r="AI10" s="230"/>
      <c r="AJ10" s="228">
        <f>IF(ISNUMBER(Datos!M10),Datos!M10," - ")</f>
        <v>8</v>
      </c>
      <c r="AK10" s="232">
        <f>IF(ISNUMBER(Datos!N10),Datos!N10," - ")</f>
        <v>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31.533333333333335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622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346</v>
      </c>
      <c r="AA12" s="335" t="str">
        <f>IF(ISNUMBER(IF(J_V="SI",Datos!L12,Datos!L12+Datos!AB12)-IF(Monitorios="SI",Datos!CD12,0)),
                          IF(J_V="SI",Datos!L12,Datos!L12+Datos!AB12)-IF(Monitorios="SI",Datos!CD12,0),
                          " - ")</f>
        <v xml:space="preserve"> - </v>
      </c>
      <c r="AB12" s="337"/>
      <c r="AC12" s="337"/>
      <c r="AD12" s="487"/>
      <c r="AE12" s="487">
        <f>IF(ISNUMBER(Datos!R12),Datos!R12," - ")</f>
        <v>3829</v>
      </c>
      <c r="AF12" s="232" t="str">
        <f>IF(ISNUMBER(Datos!BV12),Datos!BV12," - ")</f>
        <v xml:space="preserve"> - </v>
      </c>
      <c r="AG12" s="228" t="str">
        <f>IF(ISNUMBER(Datos!DV12),Datos!DV12," - ")</f>
        <v xml:space="preserve"> - </v>
      </c>
      <c r="AH12" s="301"/>
      <c r="AI12" s="230"/>
      <c r="AJ12" s="228">
        <f>IF(ISNUMBER(Datos!M12),Datos!M12," - ")</f>
        <v>741</v>
      </c>
      <c r="AK12" s="232">
        <f>IF(ISNUMBER(Datos!N12),Datos!N12," - ")</f>
        <v>1533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8.4209039548022595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7.7680833098789759E-2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23</v>
      </c>
      <c r="G13" s="901">
        <f>SUBTOTAL(9,G8:G12)</f>
        <v>23</v>
      </c>
      <c r="H13" s="911"/>
      <c r="I13" s="901">
        <f t="shared" ref="I13:N13" si="0">SUBTOTAL(9,I8:I12)</f>
        <v>0</v>
      </c>
      <c r="J13" s="870">
        <f t="shared" si="0"/>
        <v>0</v>
      </c>
      <c r="K13" s="911">
        <f t="shared" si="0"/>
        <v>0</v>
      </c>
      <c r="L13" s="911">
        <f t="shared" si="0"/>
        <v>0</v>
      </c>
      <c r="M13" s="911">
        <f t="shared" si="0"/>
        <v>0</v>
      </c>
      <c r="N13" s="911">
        <f t="shared" si="0"/>
        <v>625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346</v>
      </c>
      <c r="AA13" s="903">
        <f t="shared" si="2"/>
        <v>43</v>
      </c>
      <c r="AB13" s="903">
        <f t="shared" si="2"/>
        <v>0</v>
      </c>
      <c r="AC13" s="903">
        <f t="shared" si="2"/>
        <v>0</v>
      </c>
      <c r="AD13" s="903">
        <f t="shared" si="2"/>
        <v>0</v>
      </c>
      <c r="AE13" s="903">
        <f t="shared" si="2"/>
        <v>3842</v>
      </c>
      <c r="AF13" s="911">
        <f t="shared" si="2"/>
        <v>0</v>
      </c>
      <c r="AG13" s="911">
        <f t="shared" si="2"/>
        <v>0</v>
      </c>
      <c r="AH13" s="911">
        <f t="shared" si="2"/>
        <v>0</v>
      </c>
      <c r="AI13" s="911">
        <f t="shared" si="2"/>
        <v>0</v>
      </c>
      <c r="AJ13" s="911">
        <f t="shared" si="2"/>
        <v>749</v>
      </c>
      <c r="AK13" s="911">
        <f t="shared" si="2"/>
        <v>1539</v>
      </c>
      <c r="AL13" s="911">
        <f t="shared" si="2"/>
        <v>0</v>
      </c>
      <c r="AM13" s="911">
        <f t="shared" si="2"/>
        <v>0</v>
      </c>
      <c r="AN13" s="911">
        <f t="shared" si="2"/>
        <v>0</v>
      </c>
      <c r="AO13" s="907">
        <f>IF(ISNUMBER(((NºAsuntos!I13/NºAsuntos!G13)*11)/factor_trimestre),((NºAsuntos!I13/NºAsuntos!G13)*11)/factor_trimestre," - ")</f>
        <v>8.529209621993127</v>
      </c>
      <c r="AP13" s="913" t="str">
        <f>IF(ISNUMBER(Datos!CI13/Datos!CJ13),Datos!CI13/Datos!CJ13," - ")</f>
        <v xml:space="preserve"> - </v>
      </c>
      <c r="AQ13" s="931">
        <f t="shared" ref="AQ13:AV13" si="3">SUBTOTAL(9,AQ9:AQ12)</f>
        <v>0</v>
      </c>
      <c r="AR13" s="931">
        <f t="shared" si="3"/>
        <v>0.37768083309878975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767</v>
      </c>
      <c r="G16" s="228">
        <f>IF(ISNUMBER(IF(D_I="SI",Datos!I16,Datos!I16+Datos!AC16)),IF(D_I="SI",Datos!I16,Datos!I16+Datos!AC16)," - ")</f>
        <v>714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2542</v>
      </c>
      <c r="Z16" s="622">
        <f>IF(ISNUMBER(Datos!Q16),Datos!Q16," - ")</f>
        <v>71</v>
      </c>
      <c r="AA16" s="335">
        <f>IF(ISNUMBER(IF(D_I="SI",Datos!L16,Datos!L16+Datos!AF16)),IF(D_I="SI",Datos!L16,Datos!L16+Datos!AF16)," - ")</f>
        <v>1039</v>
      </c>
      <c r="AB16" s="337"/>
      <c r="AC16" s="337"/>
      <c r="AD16" s="487"/>
      <c r="AE16" s="487">
        <f>IF(ISNUMBER(Datos!R16),Datos!R16," - ")</f>
        <v>182</v>
      </c>
      <c r="AF16" s="232" t="str">
        <f>IF(ISNUMBER(Datos!BV16),Datos!BV16," - ")</f>
        <v xml:space="preserve"> - </v>
      </c>
      <c r="AG16" s="228"/>
      <c r="AH16" s="301"/>
      <c r="AI16" s="230"/>
      <c r="AJ16" s="228">
        <f>IF(ISNUMBER(Datos!M16),Datos!M16," - ")</f>
        <v>416</v>
      </c>
      <c r="AK16" s="232">
        <f>IF(ISNUMBER(Datos!N16),Datos!N16," - ")</f>
        <v>1527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4.496066089693155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274</v>
      </c>
      <c r="Z17" s="622">
        <f>IF(ISNUMBER(Datos!Q17),Datos!Q17," - ")</f>
        <v>2</v>
      </c>
      <c r="AA17" s="335">
        <f>IF(ISNUMBER(Datos!L17),Datos!L17,"-")</f>
        <v>67</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72</v>
      </c>
      <c r="AK17" s="232">
        <f>IF(ISNUMBER(Datos!N17),Datos!N17," - ")</f>
        <v>204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2.6897810218978102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767</v>
      </c>
      <c r="G18" s="901">
        <f>SUBTOTAL(9,G15:G17)</f>
        <v>746</v>
      </c>
      <c r="H18" s="935">
        <f>SUBTOTAL(9,H15:H17)</f>
        <v>0</v>
      </c>
      <c r="I18" s="914">
        <f>SUBTOTAL(9,I15:I17)</f>
        <v>0</v>
      </c>
      <c r="J18" s="870">
        <f>SUBTOTAL(9,J14:J17)</f>
        <v>0</v>
      </c>
      <c r="K18" s="935">
        <f t="shared" ref="K18:S18" si="4">SUBTOTAL(9,K15:K17)</f>
        <v>0</v>
      </c>
      <c r="L18" s="935">
        <f t="shared" si="4"/>
        <v>0</v>
      </c>
      <c r="M18" s="935">
        <f t="shared" si="4"/>
        <v>0</v>
      </c>
      <c r="N18" s="935">
        <f t="shared" si="4"/>
        <v>93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2816</v>
      </c>
      <c r="Z18" s="935">
        <f t="shared" si="5"/>
        <v>73</v>
      </c>
      <c r="AA18" s="935">
        <f t="shared" si="5"/>
        <v>1106</v>
      </c>
      <c r="AB18" s="935">
        <f t="shared" si="5"/>
        <v>0</v>
      </c>
      <c r="AC18" s="935">
        <f t="shared" si="5"/>
        <v>0</v>
      </c>
      <c r="AD18" s="935">
        <f t="shared" si="5"/>
        <v>0</v>
      </c>
      <c r="AE18" s="935">
        <f t="shared" si="5"/>
        <v>183</v>
      </c>
      <c r="AF18" s="935">
        <f t="shared" si="5"/>
        <v>0</v>
      </c>
      <c r="AG18" s="935">
        <f t="shared" si="5"/>
        <v>0</v>
      </c>
      <c r="AH18" s="935">
        <f t="shared" si="5"/>
        <v>0</v>
      </c>
      <c r="AI18" s="935">
        <f t="shared" si="5"/>
        <v>0</v>
      </c>
      <c r="AJ18" s="935">
        <f t="shared" si="5"/>
        <v>488</v>
      </c>
      <c r="AK18" s="935">
        <f t="shared" si="5"/>
        <v>1731</v>
      </c>
      <c r="AL18" s="935">
        <f t="shared" si="5"/>
        <v>0</v>
      </c>
      <c r="AM18" s="935">
        <f t="shared" si="5"/>
        <v>0</v>
      </c>
      <c r="AN18" s="935">
        <f t="shared" si="5"/>
        <v>0</v>
      </c>
      <c r="AO18" s="937">
        <f>IF(ISNUMBER(((NºAsuntos!I18/NºAsuntos!G18)*11)/factor_trimestre),((NºAsuntos!I18/NºAsuntos!G18)*11)/factor_trimestre," - ")</f>
        <v>4.3203125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790</v>
      </c>
      <c r="G19" s="823">
        <f t="shared" si="7"/>
        <v>769</v>
      </c>
      <c r="H19" s="824">
        <f t="shared" si="7"/>
        <v>0</v>
      </c>
      <c r="I19" s="823">
        <f t="shared" si="7"/>
        <v>0</v>
      </c>
      <c r="J19" s="825">
        <f t="shared" si="7"/>
        <v>0</v>
      </c>
      <c r="K19" s="823">
        <f t="shared" si="7"/>
        <v>0</v>
      </c>
      <c r="L19" s="826">
        <f t="shared" si="7"/>
        <v>0</v>
      </c>
      <c r="M19" s="823">
        <f t="shared" si="7"/>
        <v>0</v>
      </c>
      <c r="N19" s="824">
        <f t="shared" si="7"/>
        <v>718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2831</v>
      </c>
      <c r="Z19" s="830">
        <f t="shared" si="8"/>
        <v>419</v>
      </c>
      <c r="AA19" s="831">
        <f t="shared" si="8"/>
        <v>1149</v>
      </c>
      <c r="AB19" s="831">
        <f t="shared" si="8"/>
        <v>0</v>
      </c>
      <c r="AC19" s="831">
        <f t="shared" si="8"/>
        <v>0</v>
      </c>
      <c r="AD19" s="832">
        <f t="shared" si="8"/>
        <v>0</v>
      </c>
      <c r="AE19" s="832">
        <f t="shared" si="8"/>
        <v>4025</v>
      </c>
      <c r="AF19" s="833">
        <f t="shared" si="8"/>
        <v>0</v>
      </c>
      <c r="AG19" s="834">
        <f t="shared" si="8"/>
        <v>0</v>
      </c>
      <c r="AH19" s="835">
        <f t="shared" si="8"/>
        <v>0</v>
      </c>
      <c r="AI19" s="833">
        <f t="shared" si="8"/>
        <v>0</v>
      </c>
      <c r="AJ19" s="823">
        <f t="shared" si="8"/>
        <v>1237</v>
      </c>
      <c r="AK19" s="823">
        <f t="shared" si="8"/>
        <v>3270</v>
      </c>
      <c r="AL19" s="823">
        <f t="shared" si="8"/>
        <v>0</v>
      </c>
      <c r="AM19" s="836">
        <f t="shared" si="8"/>
        <v>0</v>
      </c>
      <c r="AN19" s="826">
        <f>IF(ISNUMBER(Datos!K19/Datos!J19),Datos!K19/Datos!J19," - ")</f>
        <v>0.85158079625292737</v>
      </c>
      <c r="AO19" s="826">
        <f>IF(ISNUMBER(FIND("06",Criterios!A8,1)),(IF(ISNUMBER(((Datos!R19/Datos!Q19)*11)/factor_trimestre),((Datos!R19/Datos!Q19)*11)/factor_trimestre," - ")),(IF(ISNUMBER(((Datos!L19/Datos!K19)*11)/factor_trimestre),((Datos!L19/Datos!K19)*11)/factor_trimestre," - ")))</f>
        <v>6.7194912341010653</v>
      </c>
      <c r="AP19" s="837" t="str">
        <f>IF(ISNUMBER(Datos!CI19/Datos!CJ19),Datos!CI19/Datos!CJ19," - ")</f>
        <v xml:space="preserve"> - </v>
      </c>
      <c r="AQ19" s="837">
        <f>IF(OR(ISNUMBER(FIND("01",Criterios!A8,1)),ISNUMBER(FIND("02",Criterios!A8,1)),ISNUMBER(FIND("03",Criterios!A8,1)),ISNUMBER(FIND("04",Criterios!A8,1))),(J19-Y19+K19)/(F19-K19),(I19-Y19+K19)/(F19-K19))</f>
        <v>-3.5835443037974684</v>
      </c>
      <c r="AR19" s="837">
        <f>IF(ISNUMBER((Datos!P19-Datos!Q19+O19)/(Datos!R19-Datos!P19+Datos!Q19-O19)),(Datos!P19-Datos!Q19+O19)/(Datos!R19-Datos!P19+Datos!Q19-O19)," - ")</f>
        <v>8.0246913580246909E-2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307.60000000000002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429.54860027708156</v>
      </c>
      <c r="G21" s="555">
        <f>IF(ISNUMBER(STDEV(G8:G18)),STDEV(G8:G18),"-")</f>
        <v>385.78011872049598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318.25063498234636</v>
      </c>
      <c r="AK21" s="255"/>
      <c r="AL21" s="255">
        <f>IF(ISNUMBER(STDEV(AL8:AL18)),STDEV(AL8:AL18),"-")</f>
        <v>0</v>
      </c>
      <c r="AM21" s="257">
        <f>IF(ISNUMBER(STDEV(AM8:AM18)),STDEV(AM8:AM18),"-")</f>
        <v>0</v>
      </c>
      <c r="AN21" s="542">
        <f>IF(ISNUMBER(STDEV(AN8:AN18)),STDEV(AN8:AN18),"-")</f>
        <v>0</v>
      </c>
      <c r="AO21" s="543">
        <f>IF(ISNUMBER(STDEV(AO8:AO18)),STDEV(AO8:AO18),"-")</f>
        <v>10.810482275928891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csxQfkFRR9IcjdDRZuM12vG/M1C/UKE9WMOOu1FgkK9YGWmXC/A2CZkqtICoovX/9oFw8syYdBudSrKDK0omzg==" saltValue="K+Mv/BdAgZV95FrcKaNct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zfh/IFuYoxij2Lx21Y7GeWUdygd/H3xNzu7K6fjzJw4KQRO6cNrqweE5Q8Xv+c7bYCFcBJHT3bUuR6yMfat3Dg==" saltValue="0u30PB8TG8LjrQlOA6da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GcFgjUnTYwW/QWER1eSKGtCdZhvlSNJy4wDAar76Ro9h2Miz7SJlq1LVogeSGROWoNRmq6h8di6a31qNMk9A==" saltValue="Vwj8GbZB+6hbDLdNOkD+s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PUERTOLLANO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0.23398937831927522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0.16545547613518402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ldkuI21xYbiQgfIFFEeEaAX4GUmxjaomxDojdJfztst77MUV7s2m7uZQtlFTyMPrMPMc/7t0nNQC51HN44Ko5Q==" saltValue="SM7VHUxiTlWn9yjcuaD5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O0fRFVIONIyHU2+3M71HdHILorVxJJyZ6nPbtbj0JGw9DbgjDKyESNgo1f/fcau47tGDu/v0mEpAODJH/k80/w==" saltValue="07heQzFiwNod7CxPHlxc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PUERTOLLANO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23</v>
      </c>
      <c r="D10" s="407">
        <f>IF(ISNUMBER(C10/Datos!BH10),C10/Datos!BH10," - ")</f>
        <v>23</v>
      </c>
      <c r="E10" s="406">
        <f>IF(ISNUMBER(Datos!J10),Datos!J10," - ")</f>
        <v>35</v>
      </c>
      <c r="F10" s="407">
        <f>IF(ISNUMBER(E10/B10),E10/B10," - ")</f>
        <v>35</v>
      </c>
      <c r="G10" s="406">
        <f>IF(ISNUMBER(Datos!K10),Datos!K10," - ")</f>
        <v>15</v>
      </c>
      <c r="H10" s="407">
        <f>IF(ISNUMBER(G10/B10),G10/B10," - ")</f>
        <v>15</v>
      </c>
      <c r="I10" s="406">
        <f>IF(ISNUMBER(Datos!L10),Datos!L10," - ")</f>
        <v>43</v>
      </c>
      <c r="J10" s="407">
        <f>IF(ISNUMBER(I10/B10),I10/B10," - ")</f>
        <v>43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1753</v>
      </c>
      <c r="D12" s="407">
        <f>IF(ISNUMBER(C12/Datos!BH12),C12/Datos!BH12," - ")</f>
        <v>584.33333333333337</v>
      </c>
      <c r="E12" s="406">
        <f>IF(ISNUMBER(IF(J_V="SI",Datos!J12,Datos!J12+Datos!Z12)),IF(J_V="SI",Datos!J12,Datos!J12+Datos!Z12)," - ")</f>
        <v>3873</v>
      </c>
      <c r="F12" s="407">
        <f>IF(ISNUMBER(E12/B12),E12/B12," - ")</f>
        <v>1291</v>
      </c>
      <c r="G12" s="406">
        <f>IF(ISNUMBER(IF(J_V="SI",Datos!K12,Datos!K12+Datos!AA12)),IF(J_V="SI",Datos!K12,Datos!K12+Datos!AA12)," - ")</f>
        <v>3186</v>
      </c>
      <c r="H12" s="407">
        <f>IF(ISNUMBER(G12/B12),G12/B12," - ")</f>
        <v>1062</v>
      </c>
      <c r="I12" s="406">
        <f>IF(ISNUMBER(IF(J_V="SI",Datos!L12,Datos!L12+Datos!AB12)),IF(J_V="SI",Datos!L12,Datos!L12+Datos!AB12)," - ")</f>
        <v>2439</v>
      </c>
      <c r="J12" s="407">
        <f>IF(ISNUMBER(I12/B12),I12/B12," - ")</f>
        <v>813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1776</v>
      </c>
      <c r="D13" s="853" t="str">
        <f>IF(ISNUMBER(C13/Datos!BI13),C13/Datos!BI13," - ")</f>
        <v xml:space="preserve"> - </v>
      </c>
      <c r="E13" s="852">
        <f>SUBTOTAL(9,E8:E12)</f>
        <v>3908</v>
      </c>
      <c r="F13" s="853">
        <f>IF(ISNUMBER(E13/B13),E13/B13," - ")</f>
        <v>1302.6666666666667</v>
      </c>
      <c r="G13" s="852">
        <f>SUBTOTAL(9,G8:G12)</f>
        <v>3201</v>
      </c>
      <c r="H13" s="853">
        <f>IF(ISNUMBER(G13/B13),G13/B13," - ")</f>
        <v>1067</v>
      </c>
      <c r="I13" s="852">
        <f>SUBTOTAL(9,I8:I12)</f>
        <v>2482</v>
      </c>
      <c r="J13" s="853">
        <f>IF(ISNUMBER(I13/B13),I13/B13," - ")</f>
        <v>827.33333333333337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714</v>
      </c>
      <c r="D16" s="407">
        <f>IF(ISNUMBER(C16/Datos!BH16),C16/Datos!BH16," - ")</f>
        <v>238</v>
      </c>
      <c r="E16" s="406">
        <f>IF(ISNUMBER(IF(D_I="SI",Datos!J16,Datos!J16+Datos!AD16)),IF(D_I="SI",Datos!J16,Datos!J16+Datos!AD16)," - ")</f>
        <v>2814</v>
      </c>
      <c r="F16" s="407">
        <f>IF(ISNUMBER(E16/B16),E16/B16," - ")</f>
        <v>938</v>
      </c>
      <c r="G16" s="406">
        <f>IF(ISNUMBER(IF(D_I="SI",Datos!K16,Datos!K16+Datos!AE16)),IF(D_I="SI",Datos!K16,Datos!K16+Datos!AE16)," - ")</f>
        <v>2542</v>
      </c>
      <c r="H16" s="407">
        <f>IF(ISNUMBER(G16/B16),G16/B16," - ")</f>
        <v>847.33333333333337</v>
      </c>
      <c r="I16" s="406">
        <f>IF(ISNUMBER(IF(D_I="SI",Datos!L16,Datos!L16+Datos!AF16)),IF(D_I="SI",Datos!L16,Datos!L16+Datos!AF16)," - ")</f>
        <v>1039</v>
      </c>
      <c r="J16" s="407">
        <f>IF(ISNUMBER(I16/B16),I16/B16," - ")</f>
        <v>346.33333333333331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32</v>
      </c>
      <c r="D17" s="407">
        <f>IF(ISNUMBER(C17/Datos!BH17),C17/Datos!BH17," - ")</f>
        <v>32</v>
      </c>
      <c r="E17" s="406">
        <f>IF(ISNUMBER(IF(D_I="SI",Datos!J17,Datos!J17+Datos!AD17)),IF(D_I="SI",Datos!J17,Datos!J17+Datos!AD17)," - ")</f>
        <v>305</v>
      </c>
      <c r="F17" s="407">
        <f>IF(ISNUMBER(E17/B17),E17/B17," - ")</f>
        <v>305</v>
      </c>
      <c r="G17" s="406">
        <f>IF(ISNUMBER(IF(D_I="SI",Datos!K17,Datos!K17+Datos!AE17)),IF(D_I="SI",Datos!K17,Datos!K17+Datos!AE17)," - ")</f>
        <v>274</v>
      </c>
      <c r="H17" s="407">
        <f>IF(ISNUMBER(G17/B17),G17/B17," - ")</f>
        <v>274</v>
      </c>
      <c r="I17" s="406">
        <f>IF(ISNUMBER(IF(D_I="SI",Datos!L17,Datos!L17+Datos!AF17)),IF(D_I="SI",Datos!L17,Datos!L17+Datos!AF17)," - ")</f>
        <v>67</v>
      </c>
      <c r="J17" s="407">
        <f>IF(ISNUMBER(I17/B17),I17/B17," - ")</f>
        <v>67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746</v>
      </c>
      <c r="D18" s="853" t="str">
        <f>IF(ISNUMBER(C18/Datos!BI18),C18/Datos!BI18," - ")</f>
        <v xml:space="preserve"> - </v>
      </c>
      <c r="E18" s="852">
        <f>SUBTOTAL(9,E14:E17)</f>
        <v>3119</v>
      </c>
      <c r="F18" s="853">
        <f>IF(ISNUMBER(E18/B18),E18/B18," - ")</f>
        <v>1039.6666666666667</v>
      </c>
      <c r="G18" s="852">
        <f>SUBTOTAL(9,G14:G17)</f>
        <v>2816</v>
      </c>
      <c r="H18" s="853">
        <f>IF(ISNUMBER(G18/B18),G18/B18," - ")</f>
        <v>938.66666666666663</v>
      </c>
      <c r="I18" s="852">
        <f>SUBTOTAL(9,I14:I17)</f>
        <v>1106</v>
      </c>
      <c r="J18" s="853">
        <f>IF(ISNUMBER(I18/B18),I18/B18," - ")</f>
        <v>368.66666666666669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2522</v>
      </c>
      <c r="D19" s="798" t="str">
        <f>IF(ISNUMBER(C19/Datos!BI19),C19/Datos!BI19," - ")</f>
        <v xml:space="preserve"> - </v>
      </c>
      <c r="E19" s="797">
        <f>SUBTOTAL(9,E9:E18)</f>
        <v>7027</v>
      </c>
      <c r="F19" s="798">
        <f>IF(ISNUMBER(E19/B19),E19/B19," - ")</f>
        <v>2342.3333333333335</v>
      </c>
      <c r="G19" s="797">
        <f>SUBTOTAL(9,G9:G18)</f>
        <v>6017</v>
      </c>
      <c r="H19" s="798">
        <f>IF(ISNUMBER(G19/B19),G19/B19," - ")</f>
        <v>2005.6666666666667</v>
      </c>
      <c r="I19" s="797">
        <f>SUBTOTAL(9,I9:I18)</f>
        <v>3588</v>
      </c>
      <c r="J19" s="798">
        <f>IF(ISNUMBER(I19/B19),I19/B19," - ")</f>
        <v>1196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bdLACL+5ewD7UZe4gHK1zzjsp0EURWClWP2TBZAZooLlojPtoi5LoQj6pH+UIEo4UBIhvFRvigB6VX8ZczAy2g==" saltValue="SLg068brWa513IPfIh8x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PUERTOLLANO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23</v>
      </c>
      <c r="G10" s="687">
        <f>IF(ISNUMBER(Datos!I10),Datos!I10," - ")</f>
        <v>23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43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6</v>
      </c>
      <c r="AN10" s="693">
        <f>IF(ISNUMBER(Datos!BW10+DatosP!BW17),Datos!BW10+DatosP!BW17," - ")</f>
        <v>0</v>
      </c>
      <c r="AO10" s="694">
        <f>IF(ISNUMBER(Datos!BX10+DatosP!BX17),Datos!BX10+DatosP!BX17," - ")</f>
        <v>0</v>
      </c>
      <c r="AP10" s="696">
        <f>IF(ISNUMBER(((Datos!L10/Datos!K10)*11)/factor_trimestre),((Datos!L10/Datos!K10)*11)/factor_trimestre," - ")</f>
        <v>31.533333333333335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622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346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3829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741</v>
      </c>
      <c r="AM12" s="693">
        <f>IF(ISNUMBER(Datos!N12+DatosP!N16),Datos!N12+DatosP!N16," - ")</f>
        <v>1533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8.4209039548022595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7.7680833098789759E-2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23</v>
      </c>
      <c r="G13" s="941">
        <f t="shared" si="0"/>
        <v>23</v>
      </c>
      <c r="H13" s="941">
        <f t="shared" si="0"/>
        <v>0</v>
      </c>
      <c r="I13" s="943">
        <f t="shared" si="0"/>
        <v>0</v>
      </c>
      <c r="J13" s="942">
        <f t="shared" si="0"/>
        <v>0</v>
      </c>
      <c r="K13" s="942">
        <f t="shared" si="0"/>
        <v>0</v>
      </c>
      <c r="L13" s="944">
        <f t="shared" si="0"/>
        <v>0</v>
      </c>
      <c r="M13" s="944">
        <f t="shared" si="0"/>
        <v>0</v>
      </c>
      <c r="N13" s="942">
        <f t="shared" si="0"/>
        <v>625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346</v>
      </c>
      <c r="AE13" s="942">
        <f t="shared" si="1"/>
        <v>0</v>
      </c>
      <c r="AF13" s="942">
        <f t="shared" si="1"/>
        <v>43</v>
      </c>
      <c r="AG13" s="942">
        <f t="shared" si="1"/>
        <v>0</v>
      </c>
      <c r="AH13" s="942">
        <f t="shared" si="1"/>
        <v>3829</v>
      </c>
      <c r="AI13" s="942">
        <f t="shared" si="1"/>
        <v>0</v>
      </c>
      <c r="AJ13" s="942">
        <f t="shared" si="1"/>
        <v>0</v>
      </c>
      <c r="AK13" s="942">
        <f t="shared" si="1"/>
        <v>0</v>
      </c>
      <c r="AL13" s="942">
        <f t="shared" si="1"/>
        <v>749</v>
      </c>
      <c r="AM13" s="942">
        <f t="shared" si="1"/>
        <v>1539</v>
      </c>
      <c r="AN13" s="942">
        <f t="shared" si="1"/>
        <v>0</v>
      </c>
      <c r="AO13" s="942">
        <f t="shared" si="1"/>
        <v>0</v>
      </c>
      <c r="AP13" s="947">
        <f>IF(ISNUMBER(((Datos!L13/Datos!K13)*11)/factor_trimestre),((Datos!L13/Datos!K13)*11)/factor_trimestre," - ")</f>
        <v>8.970019986675549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-0.65217391304347827</v>
      </c>
      <c r="AU13" s="942" t="str">
        <f>IF(ISNUMBER((DatosP!#REF!-DatosP!#REF!+DatosP!#REF!)/(DatosP!#REF!+DatosP!#REF!-DatosP!#REF!-DatosP!#REF!)),(DatosP!#REF!-DatosP!#REF!+DatosP!#REF!)/(DatosP!#REF!+DatosP!#REF!-DatosP!#REF!-DatosP!#REF!)," - ")</f>
        <v xml:space="preserve"> - </v>
      </c>
      <c r="AV13" s="948">
        <f>SUBTOTAL(9,AV9:AV12)</f>
        <v>7.7680833098789759E-2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4.3203125</v>
      </c>
      <c r="AQ18" s="947">
        <f>IF(ISNUMBER(((Datos!M18/Datos!L18)*11)/factor_trimestre),((Datos!M18/Datos!L18)*11)/factor_trimestre," - ")</f>
        <v>4.8535262206148282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0.12269938650306748</v>
      </c>
      <c r="AW18" s="949">
        <f>IF(ISNUMBER((Datos!Q18-Datos!R18)/(Datos!S18-Datos!Q18+Datos!R18)),(Datos!Q18-Datos!R18)/(Datos!S18-Datos!Q18+Datos!R18)," - ")</f>
        <v>-0.11270491803278689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23</v>
      </c>
      <c r="G19" s="954">
        <f t="shared" si="4"/>
        <v>23</v>
      </c>
      <c r="H19" s="954">
        <f t="shared" si="4"/>
        <v>0</v>
      </c>
      <c r="I19" s="955">
        <f t="shared" si="4"/>
        <v>0</v>
      </c>
      <c r="J19" s="956">
        <f t="shared" si="4"/>
        <v>0</v>
      </c>
      <c r="K19" s="956">
        <f t="shared" si="4"/>
        <v>0</v>
      </c>
      <c r="L19" s="956">
        <f t="shared" si="4"/>
        <v>0</v>
      </c>
      <c r="M19" s="956">
        <f t="shared" si="4"/>
        <v>0</v>
      </c>
      <c r="N19" s="955">
        <f t="shared" si="4"/>
        <v>625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346</v>
      </c>
      <c r="AE19" s="960">
        <f t="shared" si="5"/>
        <v>0</v>
      </c>
      <c r="AF19" s="961">
        <f t="shared" si="5"/>
        <v>43</v>
      </c>
      <c r="AG19" s="961">
        <f t="shared" si="5"/>
        <v>0</v>
      </c>
      <c r="AH19" s="961">
        <f t="shared" si="5"/>
        <v>3829</v>
      </c>
      <c r="AI19" s="961">
        <f t="shared" si="5"/>
        <v>0</v>
      </c>
      <c r="AJ19" s="962">
        <f t="shared" si="5"/>
        <v>0</v>
      </c>
      <c r="AK19" s="962">
        <f t="shared" si="5"/>
        <v>0</v>
      </c>
      <c r="AL19" s="954">
        <f t="shared" si="5"/>
        <v>749</v>
      </c>
      <c r="AM19" s="954">
        <f t="shared" si="5"/>
        <v>1539</v>
      </c>
      <c r="AN19" s="954">
        <f t="shared" si="5"/>
        <v>0</v>
      </c>
      <c r="AO19" s="954">
        <f t="shared" si="5"/>
        <v>0</v>
      </c>
      <c r="AP19" s="954">
        <f>IF(ISNUMBER(((Datos!L19/Datos!K19)*11)/factor_trimestre),((Datos!L19/Datos!K19)*11)/factor_trimestre," - ")</f>
        <v>6.7194912341010653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-0.65217391304347827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8.0246913580246909E-2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15.333333333333334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13.279056191361391</v>
      </c>
      <c r="G21" s="740">
        <f>IF(ISNUMBER(STDEV(G8:G18)),STDEV(G8:G18),"-")</f>
        <v>13.279056191361391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427.84148154817029</v>
      </c>
      <c r="AM21" s="739"/>
      <c r="AN21" s="739">
        <f>IF(ISNUMBER(STDEV(AN8:AN18)),STDEV(AN8:AN18),"-")</f>
        <v>0</v>
      </c>
      <c r="AO21" s="745">
        <f>IF(ISNUMBER(STDEV(AO8:AO18)),STDEV(AO8:AO18),"-")</f>
        <v>0</v>
      </c>
      <c r="AP21" s="782">
        <f>IF(ISNUMBER(STDEV(AP8:AP18)),STDEV(AP8:AP18),"-")</f>
        <v>12.324001522232239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uo+oCqDUFiXpX39t8piEL8+fxnIfivp/RFLNiZV5wp7AZ8qnKFOboabUgxzgzTFodoX29pDkCwGkeO7llNPO1w==" saltValue="2G+bfIBfDXatXcwIAi8O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CIUDAD REAL</v>
      </c>
      <c r="C3" s="418"/>
      <c r="F3" s="378"/>
      <c r="G3" s="378"/>
      <c r="H3" s="378"/>
    </row>
    <row r="4" spans="1:15" ht="13.5" thickBot="1">
      <c r="A4" s="378"/>
      <c r="B4" s="394" t="str">
        <f>Criterios!A11 &amp;"  "&amp;Criterios!B11</f>
        <v>Resumenes por Partidos Judiciales  PUERTOLLANO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j0gmtvtUHdiHOtUeFxp26MupOVRTjN5f3lf5qI6jmbnCLgUw2urdvpAOaf1muZa7nSt9VoDBA/bTFaKvh4m+sw==" saltValue="ST4Wugt7rE2fFf8yJnLu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PUERTOLLANO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6</v>
      </c>
      <c r="G10" s="407">
        <f>IF(ISNUMBER(F10/B10),F10/B10," - ")</f>
        <v>6</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741</v>
      </c>
      <c r="E12" s="407">
        <f t="shared" si="0"/>
        <v>247</v>
      </c>
      <c r="F12" s="406">
        <f>IF(ISNUMBER(Datos!N12),Datos!N12," - ")</f>
        <v>1533</v>
      </c>
      <c r="G12" s="407">
        <f t="shared" si="1"/>
        <v>511</v>
      </c>
      <c r="H12" s="406">
        <f>IF(ISNUMBER(Datos!O12),Datos!O12," - ")</f>
        <v>970</v>
      </c>
      <c r="I12" s="407">
        <f t="shared" si="2"/>
        <v>323.33333333333331</v>
      </c>
    </row>
    <row r="13" spans="1:9" ht="14.25" thickTop="1" thickBot="1">
      <c r="A13" s="851" t="str">
        <f>Datos!A13</f>
        <v>TOTAL</v>
      </c>
      <c r="B13" s="852">
        <f>Datos!AO13</f>
        <v>4</v>
      </c>
      <c r="C13" s="854">
        <f>Datos!AR13</f>
        <v>3</v>
      </c>
      <c r="D13" s="852">
        <f>SUBTOTAL(9,D9:D12)</f>
        <v>749</v>
      </c>
      <c r="E13" s="853">
        <f t="shared" si="0"/>
        <v>187.25</v>
      </c>
      <c r="F13" s="852">
        <f>SUBTOTAL(9,F9:F12)</f>
        <v>1539</v>
      </c>
      <c r="G13" s="853">
        <f t="shared" si="1"/>
        <v>384.75</v>
      </c>
      <c r="H13" s="852">
        <f>SUBTOTAL(9,H9:H12)</f>
        <v>971</v>
      </c>
      <c r="I13" s="853">
        <f>IF(ISNUMBER(H13/B13),H13/B13," - ")</f>
        <v>242.75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416</v>
      </c>
      <c r="E16" s="407">
        <f t="shared" si="3"/>
        <v>138.66666666666666</v>
      </c>
      <c r="F16" s="406">
        <f>IF(ISNUMBER(Datos!N16),Datos!N16," - ")</f>
        <v>1527</v>
      </c>
      <c r="G16" s="407">
        <f t="shared" si="4"/>
        <v>509</v>
      </c>
      <c r="H16" s="406">
        <f>IF(ISNUMBER(Datos!O16),Datos!O16," - ")</f>
        <v>19</v>
      </c>
      <c r="I16" s="407">
        <f t="shared" si="5"/>
        <v>6.333333333333333</v>
      </c>
    </row>
    <row r="17" spans="1:9" ht="13.5" thickBot="1">
      <c r="A17" s="405" t="str">
        <f>Datos!A17</f>
        <v>Jdos. Violencia contra la mujer</v>
      </c>
      <c r="B17" s="430">
        <f>Datos!AO17</f>
        <v>1</v>
      </c>
      <c r="C17" s="431">
        <f>Datos!AQ17</f>
        <v>0</v>
      </c>
      <c r="D17" s="406">
        <f>IF(ISNUMBER(Datos!M17),Datos!M17," - ")</f>
        <v>72</v>
      </c>
      <c r="E17" s="407">
        <f>IF(ISNUMBER(D17/B17),D17/B17," - ")</f>
        <v>72</v>
      </c>
      <c r="F17" s="406">
        <f>IF(ISNUMBER(Datos!N17),Datos!N17," - ")</f>
        <v>204</v>
      </c>
      <c r="G17" s="407">
        <f>IF(ISNUMBER(F17/B17),F17/B17," - ")</f>
        <v>204</v>
      </c>
      <c r="H17" s="406">
        <f>IF(ISNUMBER(Datos!O17),Datos!O17," - ")</f>
        <v>2</v>
      </c>
      <c r="I17" s="407">
        <f t="shared" si="5"/>
        <v>2</v>
      </c>
    </row>
    <row r="18" spans="1:9" ht="14.25" thickTop="1" thickBot="1">
      <c r="A18" s="851" t="str">
        <f>Datos!A18</f>
        <v>TOTAL</v>
      </c>
      <c r="B18" s="852">
        <f>Datos!AO18</f>
        <v>4</v>
      </c>
      <c r="C18" s="854">
        <f>Datos!AR18</f>
        <v>3</v>
      </c>
      <c r="D18" s="852">
        <f>SUBTOTAL(9,D15:D17)</f>
        <v>488</v>
      </c>
      <c r="E18" s="853">
        <f t="shared" si="3"/>
        <v>122</v>
      </c>
      <c r="F18" s="852">
        <f>SUBTOTAL(9,F15:F17)</f>
        <v>1731</v>
      </c>
      <c r="G18" s="853">
        <f t="shared" si="4"/>
        <v>432.75</v>
      </c>
      <c r="H18" s="852">
        <f>SUBTOTAL(9,H15:H17)</f>
        <v>21</v>
      </c>
      <c r="I18" s="853">
        <f>IF(ISNUMBER(H18/B18),H18/B18," - ")</f>
        <v>5.25</v>
      </c>
    </row>
    <row r="19" spans="1:9" ht="14.25" thickTop="1" thickBot="1">
      <c r="A19" s="796" t="str">
        <f>Datos!A19</f>
        <v>TOTAL JURISDICCIONES</v>
      </c>
      <c r="B19" s="797">
        <f>Datos!AP19</f>
        <v>3</v>
      </c>
      <c r="C19" s="797">
        <f>Datos!AR19</f>
        <v>3</v>
      </c>
      <c r="D19" s="797">
        <f>SUBTOTAL(9,D8:D18)</f>
        <v>1237</v>
      </c>
      <c r="E19" s="798">
        <f>IF(ISNUMBER(D19/B19),D19/B19," - ")</f>
        <v>412.33333333333331</v>
      </c>
      <c r="F19" s="797">
        <f>SUBTOTAL(9,F8:F18)</f>
        <v>3270</v>
      </c>
      <c r="G19" s="798">
        <f>IF(ISNUMBER(F19/B19),F19/B19," - ")</f>
        <v>1090</v>
      </c>
      <c r="H19" s="797">
        <f>SUBTOTAL(9,H8:H18)</f>
        <v>992</v>
      </c>
      <c r="I19" s="798">
        <f>IF(ISNUMBER(H19/B19),H19/B19," - ")</f>
        <v>330.66666666666669</v>
      </c>
    </row>
    <row r="22" spans="1:9">
      <c r="A22" s="394" t="str">
        <f>Criterios!A4</f>
        <v>Fecha Informe: 03 may. 2024</v>
      </c>
    </row>
    <row r="27" spans="1:9">
      <c r="A27" s="417"/>
    </row>
  </sheetData>
  <sheetProtection algorithmName="SHA-512" hashValue="k2VlGEswk8L/MDBiMoSkdXqbiTRFJiNSgJvlEkXsI59Y9tMeB93auF8SNsu6zVretQE1MyDwd1KiXsCB2jTa7w==" saltValue="gn046lkrqC49rLxfcPV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PUERTOLLANO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0</v>
      </c>
      <c r="D10" s="411">
        <f>IF(ISNUMBER(Datos!R10),Datos!R10," - ")</f>
        <v>13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622</v>
      </c>
      <c r="C12" s="437">
        <f>IF(ISNUMBER(Datos!Q12),Datos!Q12," - ")</f>
        <v>346</v>
      </c>
      <c r="D12" s="411">
        <f>IF(ISNUMBER(Datos!R12),Datos!R12," - ")</f>
        <v>3829</v>
      </c>
    </row>
    <row r="13" spans="1:4" ht="14.25" thickTop="1" thickBot="1">
      <c r="A13" s="851" t="str">
        <f>Datos!A13</f>
        <v>TOTAL</v>
      </c>
      <c r="B13" s="852">
        <f>SUBTOTAL(9,B9:B12)</f>
        <v>625</v>
      </c>
      <c r="C13" s="856">
        <f>SUBTOTAL(9,C9:C12)</f>
        <v>346</v>
      </c>
      <c r="D13" s="854">
        <f>SUBTOTAL(9,D9:D12)</f>
        <v>3842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93</v>
      </c>
      <c r="C16" s="437">
        <f>IF(ISNUMBER(Datos!Q16),Datos!Q16," - ")</f>
        <v>71</v>
      </c>
      <c r="D16" s="411">
        <f>IF(ISNUMBER(Datos!R16),Datos!R16," - ")</f>
        <v>182</v>
      </c>
    </row>
    <row r="17" spans="1:4" ht="13.5" thickBot="1">
      <c r="A17" s="405" t="str">
        <f>Datos!A17</f>
        <v>Jdos. Violencia contra la mujer</v>
      </c>
      <c r="B17" s="436">
        <f>IF(ISNUMBER(Datos!P17),Datos!P17," - ")</f>
        <v>0</v>
      </c>
      <c r="C17" s="437">
        <f>IF(ISNUMBER(Datos!Q17),Datos!Q17," - ")</f>
        <v>2</v>
      </c>
      <c r="D17" s="411">
        <f>IF(ISNUMBER(Datos!R17),Datos!R17," - ")</f>
        <v>1</v>
      </c>
    </row>
    <row r="18" spans="1:4" ht="14.25" thickTop="1" thickBot="1">
      <c r="A18" s="851" t="str">
        <f>Datos!A18</f>
        <v>TOTAL</v>
      </c>
      <c r="B18" s="852">
        <f>SUBTOTAL(9,B15:B17)</f>
        <v>93</v>
      </c>
      <c r="C18" s="856">
        <f>SUBTOTAL(9,C15:C17)</f>
        <v>73</v>
      </c>
      <c r="D18" s="854">
        <f>SUBTOTAL(9,D15:D17)</f>
        <v>183</v>
      </c>
    </row>
    <row r="19" spans="1:4" ht="16.5" customHeight="1" thickTop="1" thickBot="1">
      <c r="A19" s="796" t="str">
        <f>Datos!A19</f>
        <v>TOTAL JURISDICCIONES</v>
      </c>
      <c r="B19" s="801">
        <f>SUBTOTAL(9,B8:B18)</f>
        <v>718</v>
      </c>
      <c r="C19" s="802">
        <f>SUBTOTAL(9,C8:C18)</f>
        <v>419</v>
      </c>
      <c r="D19" s="803">
        <f>SUBTOTAL(9,D8:D18)</f>
        <v>4025</v>
      </c>
    </row>
    <row r="20" spans="1:4" ht="7.5" customHeight="1"/>
    <row r="21" spans="1:4" ht="6" customHeight="1"/>
    <row r="22" spans="1:4">
      <c r="A22" s="394" t="str">
        <f>Criterios!A4</f>
        <v>Fecha Informe: 03 may. 2024</v>
      </c>
    </row>
    <row r="27" spans="1:4">
      <c r="A27" s="417"/>
    </row>
  </sheetData>
  <sheetProtection algorithmName="SHA-512" hashValue="k/O/auSFrbnxVKMfnBJ1a9WjIi/G5duql/NK0sstsM21mUGX9kF/rIPItS8BaGMwGJ3+4WlVuwRhZcXhrLWbvQ==" saltValue="16AAPGBTTTm9nNdBd6G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PUERTOLLANO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9.5238095238095233E-2</v>
      </c>
      <c r="C10" s="459">
        <f>IF(ISNUMBER((Datos!J10-Datos!T10)/Datos!T10),(Datos!J10-Datos!T10)/Datos!T10," - ")</f>
        <v>0.45833333333333331</v>
      </c>
      <c r="D10" s="459">
        <f>IF(ISNUMBER((Datos!K10-Datos!U10)/Datos!U10),(Datos!K10-Datos!U10)/Datos!U10," - ")</f>
        <v>-0.31818181818181818</v>
      </c>
      <c r="E10" s="459">
        <f>IF(ISNUMBER((Datos!L10-Datos!V10)/Datos!V10),(Datos!L10-Datos!V10)/Datos!V10," - ")</f>
        <v>0.86956521739130432</v>
      </c>
      <c r="F10" s="459">
        <f>IF(ISNUMBER((Datos!M10-Datos!W10)/Datos!W10),(Datos!M10-Datos!W10)/Datos!W10," - ")</f>
        <v>-0.5</v>
      </c>
      <c r="G10" s="460">
        <f>IF(ISNUMBER((Datos!N10-Datos!X10)/Datos!X10),(Datos!N10-Datos!X10)/Datos!X10," - ")</f>
        <v>1</v>
      </c>
      <c r="H10" s="458">
        <f>IF(ISNUMBER(((NºAsuntos!G10/NºAsuntos!E10)-Datos!BD10)/Datos!BD10),((NºAsuntos!G10/NºAsuntos!E10)-Datos!BD10)/Datos!BD10," - ")</f>
        <v>-0.53246753246753242</v>
      </c>
      <c r="I10" s="459">
        <f>IF(ISNUMBER(((NºAsuntos!I10/NºAsuntos!G10)-Datos!BE10)/Datos!BE10),((NºAsuntos!I10/NºAsuntos!G10)-Datos!BE10)/Datos!BE10," - ")</f>
        <v>1.7420289855072466</v>
      </c>
      <c r="J10" s="464">
        <f>IF(ISNUMBER((('Resol  Asuntos'!D10/NºAsuntos!G10)-Datos!BF10)/Datos!BF10),(('Resol  Asuntos'!D10/NºAsuntos!G10)-Datos!BF10)/Datos!BF10," - ")</f>
        <v>-0.26666666666666672</v>
      </c>
      <c r="K10" s="465">
        <f>IF(ISNUMBER((((NºAsuntos!C10+NºAsuntos!E10)/NºAsuntos!G10)-Datos!BG10)/Datos!BG10),(((NºAsuntos!C10+NºAsuntos!E10)/NºAsuntos!G10)-Datos!BG10)/Datos!BG10," - ")</f>
        <v>0.89037037037037037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8.8819875776397522E-2</v>
      </c>
      <c r="C12" s="459">
        <f>IF(ISNUMBER(
   IF(J_V="SI",(Datos!J12-Datos!T12)/Datos!T12,(Datos!J12+Datos!Z12-(Datos!T12+Datos!AH12))/(Datos!T12+Datos!AH12))
     ),IF(J_V="SI",(Datos!J12-Datos!T12)/Datos!T12,(Datos!J12+Datos!Z12-(Datos!T12+Datos!AH12))/(Datos!T12+Datos!AH12))," - ")</f>
        <v>0.28245033112582779</v>
      </c>
      <c r="D12" s="459">
        <f>IF(ISNUMBER(
   IF(J_V="SI",(Datos!K12-Datos!U12)/Datos!U12,(Datos!K12+Datos!AA12-(Datos!U12+Datos!AI12))/(Datos!U12+Datos!AI12))
     ),IF(J_V="SI",(Datos!K12-Datos!U12)/Datos!U12,(Datos!K12+Datos!AA12-(Datos!U12+Datos!AI12))/(Datos!U12+Datos!AI12))," - ")</f>
        <v>2.3121387283236993E-2</v>
      </c>
      <c r="E12" s="459">
        <f>IF(ISNUMBER(
   IF(J_V="SI",(Datos!L12-Datos!V12)/Datos!V12,(Datos!L12+Datos!AB12-(Datos!V12+Datos!AJ12))/(Datos!V12+Datos!AJ12))
     ),IF(J_V="SI",(Datos!L12-Datos!V12)/Datos!V12,(Datos!L12+Datos!AB12-(Datos!V12+Datos!AJ12))/(Datos!V12+Datos!AJ12))," - ")</f>
        <v>0.39132915002852253</v>
      </c>
      <c r="F12" s="459">
        <f>IF(ISNUMBER((Datos!M12-Datos!W12)/Datos!W12),(Datos!M12-Datos!W12)/Datos!W12," - ")</f>
        <v>0.11261261261261261</v>
      </c>
      <c r="G12" s="460">
        <f>IF(ISNUMBER((Datos!N12-Datos!X12)/Datos!X12),(Datos!N12-Datos!X12)/Datos!X12," - ")</f>
        <v>5.905511811023622E-3</v>
      </c>
      <c r="H12" s="458">
        <f>IF(ISNUMBER(((NºAsuntos!G12/NºAsuntos!E12)-Datos!BD12)/Datos!BD12),((NºAsuntos!G12/NºAsuntos!E12)-Datos!BD12)/Datos!BD12," - ")</f>
        <v>-0.20221363552920851</v>
      </c>
      <c r="I12" s="459">
        <f>IF(ISNUMBER(((NºAsuntos!I12/NºAsuntos!G12)-Datos!BE12)/Datos!BE12),((NºAsuntos!I12/NºAsuntos!G12)-Datos!BE12)/Datos!BE12," - ")</f>
        <v>0.35988668336121116</v>
      </c>
      <c r="J12" s="464">
        <f>IF(ISNUMBER((('Resol  Asuntos'!D12/NºAsuntos!G12)-Datos!BF12)/Datos!BF12),(('Resol  Asuntos'!D12/NºAsuntos!G12)-Datos!BF12)/Datos!BF12," - ")</f>
        <v>-0.52476756083455678</v>
      </c>
      <c r="K12" s="465">
        <f>IF(ISNUMBER((((NºAsuntos!C12+NºAsuntos!E12)/NºAsuntos!G12)-Datos!BG12)/Datos!BG12),(((NºAsuntos!C12+NºAsuntos!E12)/NºAsuntos!G12)-Datos!BG12)/Datos!BG12," - ")</f>
        <v>0.18765847884711603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8.8902513795217658E-2</v>
      </c>
      <c r="C13" s="858">
        <f>IF(ISNUMBER(
   IF(J_V="SI",(Datos!J13-Datos!T13)/Datos!T13,(Datos!J13+Datos!Z13-(Datos!T13+Datos!AH13))/(Datos!T13+Datos!AH13))
     ),IF(J_V="SI",(Datos!J13-Datos!T13)/Datos!T13,(Datos!J13+Datos!Z13-(Datos!T13+Datos!AH13))/(Datos!T13+Datos!AH13))," - ")</f>
        <v>0.28383705650459923</v>
      </c>
      <c r="D13" s="858">
        <f>IF(ISNUMBER(
   IF(J_V="SI",(Datos!K13-Datos!U13)/Datos!U13,(Datos!K13+Datos!AA13-(Datos!U13+Datos!AI13))/(Datos!U13+Datos!AI13))
     ),IF(J_V="SI",(Datos!K13-Datos!U13)/Datos!U13,(Datos!K13+Datos!AA13-(Datos!U13+Datos!AI13))/(Datos!U13+Datos!AI13))," - ")</f>
        <v>2.0727040816326529E-2</v>
      </c>
      <c r="E13" s="858">
        <f>IF(ISNUMBER(
   IF(J_V="SI",(Datos!L13-Datos!V13)/Datos!V13,(Datos!L13+Datos!AB13-(Datos!V13+Datos!AJ13))/(Datos!V13+Datos!AJ13))
     ),IF(J_V="SI",(Datos!L13-Datos!V13)/Datos!V13,(Datos!L13+Datos!AB13-(Datos!V13+Datos!AJ13))/(Datos!V13+Datos!AJ13))," - ")</f>
        <v>0.39752252252252251</v>
      </c>
      <c r="F13" s="859">
        <f>IF(ISNUMBER((Datos!M13-Datos!W13)/Datos!W13),(Datos!M13-Datos!W13)/Datos!W13," - ")</f>
        <v>9.824046920821114E-2</v>
      </c>
      <c r="G13" s="860">
        <f>IF(ISNUMBER((Datos!N13-Datos!X13)/Datos!X13),(Datos!N13-Datos!X13)/Datos!X13," - ")</f>
        <v>7.8585461689587421E-3</v>
      </c>
      <c r="H13" s="860">
        <f>IF(ISNUMBER(((NºAsuntos!G13/NºAsuntos!E13)-Datos!BD13)/Datos!BD13),((NºAsuntos!G13/NºAsuntos!E13)-Datos!BD13)/Datos!BD13," - ")</f>
        <v>-0.20494034998851132</v>
      </c>
      <c r="I13" s="860">
        <f>IF(ISNUMBER(((NºAsuntos!I13/NºAsuntos!G13)-Datos!BE13)/Datos!BE13),((NºAsuntos!I13/NºAsuntos!G13)-Datos!BE13)/Datos!BE13," - ")</f>
        <v>0.36914421450503915</v>
      </c>
      <c r="J13" s="860">
        <f>IF(ISNUMBER((('Resol  Asuntos'!D13/NºAsuntos!G13)-Datos!BF13)/Datos!BF13),(('Resol  Asuntos'!D13/NºAsuntos!G13)-Datos!BF13)/Datos!BF13," - ")</f>
        <v>-0.52351253869529413</v>
      </c>
      <c r="K13" s="860">
        <f>IF(ISNUMBER((((NºAsuntos!C13+NºAsuntos!E13)/NºAsuntos!G13)-Datos!BG13)/Datos!BG13),(((NºAsuntos!C13+NºAsuntos!E13)/NºAsuntos!G13)-Datos!BG13)/Datos!BG13," - ")</f>
        <v>0.19114006819392998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-0.12607099143206854</v>
      </c>
      <c r="C16" s="459">
        <f>IF(ISNUMBER(
   IF(D_I="SI",(Datos!J16-Datos!T16)/Datos!T16,(Datos!J16+Datos!AD16-(Datos!T16+Datos!AL16))/(Datos!T16+Datos!AL16))
     ),IF(D_I="SI",(Datos!J16-Datos!T16)/Datos!T16,(Datos!J16+Datos!AD16-(Datos!T16+Datos!AL16))/(Datos!T16+Datos!AL16))," - ")</f>
        <v>0.11049723756906077</v>
      </c>
      <c r="D16" s="459">
        <f>IF(ISNUMBER(
   IF(D_I="SI",(Datos!K16-Datos!U16)/Datos!U16,(Datos!K16+Datos!AE16-(Datos!U16+Datos!AM16))/(Datos!U16+Datos!AM16))
     ),IF(D_I="SI",(Datos!K16-Datos!U16)/Datos!U16,(Datos!K16+Datos!AE16-(Datos!U16+Datos!AM16))/(Datos!U16+Datos!AM16))," - ")</f>
        <v>5.9358923624851598E-3</v>
      </c>
      <c r="E16" s="459">
        <f>IF(ISNUMBER(
   IF(D_I="SI",(Datos!L16-Datos!V16)/Datos!V16,(Datos!L16+Datos!AF16-(Datos!V16+Datos!AN16))/(Datos!V16+Datos!AN16))
     ),IF(D_I="SI",(Datos!L16-Datos!V16)/Datos!V16,(Datos!L16+Datos!AF16-(Datos!V16+Datos!AN16))/(Datos!V16+Datos!AN16))," - ")</f>
        <v>0.45518207282913165</v>
      </c>
      <c r="F16" s="459">
        <f>IF(ISNUMBER((Datos!M16-Datos!W16)/Datos!W16),(Datos!M16-Datos!W16)/Datos!W16," - ")</f>
        <v>0.11528150134048257</v>
      </c>
      <c r="G16" s="460">
        <f>IF(ISNUMBER((Datos!N16-Datos!X16)/Datos!X16),(Datos!N16-Datos!X16)/Datos!X16," - ")</f>
        <v>3.2851511169513796E-3</v>
      </c>
      <c r="H16" s="458">
        <f>IF(ISNUMBER(((NºAsuntos!G16/NºAsuntos!E16)-Datos!BD16)/Datos!BD16),((NºAsuntos!G16/NºAsuntos!E16)-Datos!BD16)/Datos!BD16," - ")</f>
        <v>-9.4157231255672477E-2</v>
      </c>
      <c r="I16" s="459">
        <f>IF(ISNUMBER(((NºAsuntos!I16/NºAsuntos!G16)-Datos!BE16)/Datos!BE16),((NºAsuntos!I16/NºAsuntos!G16)-Datos!BE16)/Datos!BE16," - ")</f>
        <v>0.4465952391971737</v>
      </c>
      <c r="J16" s="464">
        <f>IF(ISNUMBER((('Resol  Asuntos'!D16/NºAsuntos!G16)-Datos!BF16)/Datos!BF16),(('Resol  Asuntos'!D16/NºAsuntos!G16)-Datos!BF16)/Datos!BF16," - ")</f>
        <v>0.1087003752507474</v>
      </c>
      <c r="K16" s="465">
        <f>IF(ISNUMBER((((NºAsuntos!C16+NºAsuntos!E16)/NºAsuntos!G16)-Datos!BG16)/Datos!BG16),(((NºAsuntos!C16+NºAsuntos!E16)/NºAsuntos!G16)-Datos!BG16)/Datos!BG16," - ")</f>
        <v>4.6607504224463331E-2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-0.34693877551020408</v>
      </c>
      <c r="C17" s="459">
        <f>IF(ISNUMBER(
   IF(D_I="SI",(Datos!J17-Datos!T17)/Datos!T17,(Datos!J17+Datos!AD17-(Datos!T17+Datos!AL17))/(Datos!T17+Datos!AL17))
     ),IF(D_I="SI",(Datos!J17-Datos!T17)/Datos!T17,(Datos!J17+Datos!AD17-(Datos!T17+Datos!AL17))/(Datos!T17+Datos!AL17))," - ")</f>
        <v>0.12132352941176471</v>
      </c>
      <c r="D17" s="459">
        <f>IF(ISNUMBER(
   IF(D_I="SI",(Datos!K17-Datos!U17)/Datos!U17,(Datos!K17+Datos!AE17-(Datos!U17+Datos!AM17))/(Datos!U17+Datos!AM17))
     ),IF(D_I="SI",(Datos!K17-Datos!U17)/Datos!U17,(Datos!K17+Datos!AE17-(Datos!U17+Datos!AM17))/(Datos!U17+Datos!AM17))," - ")</f>
        <v>-6.1643835616438353E-2</v>
      </c>
      <c r="E17" s="459">
        <f>IF(ISNUMBER(
   IF(D_I="SI",(Datos!L17-Datos!V17)/Datos!V17,(Datos!L17+Datos!AF17-(Datos!V17+Datos!AN17))/(Datos!V17+Datos!AN17))
     ),IF(D_I="SI",(Datos!L17-Datos!V17)/Datos!V17,(Datos!L17+Datos!AF17-(Datos!V17+Datos!AN17))/(Datos!V17+Datos!AN17))," - ")</f>
        <v>1.09375</v>
      </c>
      <c r="F17" s="459">
        <f>IF(ISNUMBER((Datos!M17-Datos!W17)/Datos!W17),(Datos!M17-Datos!W17)/Datos!W17," - ")</f>
        <v>0.5</v>
      </c>
      <c r="G17" s="460">
        <f>IF(ISNUMBER((Datos!N17-Datos!X17)/Datos!X17),(Datos!N17-Datos!X17)/Datos!X17," - ")</f>
        <v>-9.7345132743362831E-2</v>
      </c>
      <c r="H17" s="458">
        <f>IF(ISNUMBER(((NºAsuntos!G17/NºAsuntos!E17)-Datos!BD17)/Datos!BD17),((NºAsuntos!G17/NºAsuntos!E17)-Datos!BD17)/Datos!BD17," - ")</f>
        <v>-0.1631708960251515</v>
      </c>
      <c r="I17" s="459">
        <f>IF(ISNUMBER(((NºAsuntos!I17/NºAsuntos!G17)-Datos!BE17)/Datos!BE17),((NºAsuntos!I17/NºAsuntos!G17)-Datos!BE17)/Datos!BE17," - ")</f>
        <v>1.2312956204379564</v>
      </c>
      <c r="J17" s="464">
        <f>IF(ISNUMBER((('Resol  Asuntos'!D17/NºAsuntos!G17)-Datos!BF17)/Datos!BF17),(('Resol  Asuntos'!D17/NºAsuntos!G17)-Datos!BF17)/Datos!BF17," - ")</f>
        <v>0.59854014598540162</v>
      </c>
      <c r="K17" s="465">
        <f>IF(ISNUMBER((((NºAsuntos!C17+NºAsuntos!E17)/NºAsuntos!G17)-Datos!BG17)/Datos!BG17),(((NºAsuntos!C17+NºAsuntos!E17)/NºAsuntos!G17)-Datos!BG17)/Datos!BG17," - ")</f>
        <v>0.11881210632830791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-0.13856812933025403</v>
      </c>
      <c r="C18" s="858">
        <f>IF(ISNUMBER(
   IF(Criterios!B14="SI",(Datos!J18-Datos!T18)/Datos!T18,(Datos!J18+Datos!AD18-(Datos!T18+Datos!AL18))/(Datos!T18+Datos!AL18))
     ),IF(Criterios!B14="SI",(Datos!J18-Datos!T18)/Datos!T18,(Datos!J18+Datos!AD18-(Datos!T18+Datos!AL18))/(Datos!T18+Datos!AL18))," - ")</f>
        <v>0.11154668567355666</v>
      </c>
      <c r="D18" s="858">
        <f>IF(ISNUMBER(
   IF(Criterios!B14="SI",(Datos!K18-Datos!U18)/Datos!U18,(Datos!K18+Datos!AE18-(Datos!U18+Datos!AM18))/(Datos!U18+Datos!AM18))
     ),IF(Criterios!B14="SI",(Datos!K18-Datos!U18)/Datos!U18,(Datos!K18+Datos!AE18-(Datos!U18+Datos!AM18))/(Datos!U18+Datos!AM18))," - ")</f>
        <v>-1.0642071656615821E-3</v>
      </c>
      <c r="E18" s="858">
        <f>IF(ISNUMBER(
   IF(Criterios!B14="SI",(Datos!L18-Datos!V18)/Datos!V18,(Datos!L18+Datos!AF18-(Datos!V18+Datos!AN18))/(Datos!V18+Datos!AN18))
     ),IF(Criterios!B14="SI",(Datos!L18-Datos!V18)/Datos!V18,(Datos!L18+Datos!AF18-(Datos!V18+Datos!AN18))/(Datos!V18+Datos!AN18))," - ")</f>
        <v>0.48257372654155495</v>
      </c>
      <c r="F18" s="859">
        <f>IF(ISNUMBER((Datos!M18-Datos!W18)/Datos!W18),(Datos!M18-Datos!W18)/Datos!W18," - ")</f>
        <v>0.15914489311163896</v>
      </c>
      <c r="G18" s="860">
        <f>IF(ISNUMBER((Datos!N18-Datos!X18)/Datos!X18),(Datos!N18-Datos!X18)/Datos!X18," - ")</f>
        <v>-9.7254004576659038E-3</v>
      </c>
      <c r="H18" s="860">
        <f>IF(ISNUMBER(((NºAsuntos!G18/NºAsuntos!E18)-Datos!BD18)/Datos!BD18),((NºAsuntos!G18/NºAsuntos!E18)-Datos!BD18)/Datos!BD18," - ")</f>
        <v>-0.10131008826766479</v>
      </c>
      <c r="I18" s="860">
        <f>IF(ISNUMBER(((NºAsuntos!I18/NºAsuntos!G18)-Datos!BE18)/Datos!BE18),((NºAsuntos!I18/NºAsuntos!G18)-Datos!BE18)/Datos!BE18," - ")</f>
        <v>0.48415317298318311</v>
      </c>
      <c r="J18" s="860">
        <f>IF(ISNUMBER((('Resol  Asuntos'!D18/NºAsuntos!G18)-Datos!BF18)/Datos!BF18),(('Resol  Asuntos'!D18/NºAsuntos!G18)-Datos!BF18)/Datos!BF18," - ")</f>
        <v>0.16037977758583466</v>
      </c>
      <c r="K18" s="860">
        <f>IF(ISNUMBER((((NºAsuntos!C18+NºAsuntos!E18)/NºAsuntos!G18)-Datos!BG18)/Datos!BG18),(((NºAsuntos!C18+NºAsuntos!E18)/NºAsuntos!G18)-Datos!BG18)/Datos!BG18," - ")</f>
        <v>5.3681247988463063E-2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1.0012014417300761E-2</v>
      </c>
      <c r="C19" s="805">
        <f>IF(ISNUMBER(
   IF(J_V="SI",(Datos!J19-Datos!T19)/Datos!T19,(Datos!J19+Datos!Z19-(Datos!T19+Datos!AH19))/(Datos!T19+Datos!AH19))
     ),IF(J_V="SI",(Datos!J19-Datos!T19)/Datos!T19,(Datos!J19+Datos!Z19-(Datos!T19+Datos!AH19))/(Datos!T19+Datos!AH19))," - ")</f>
        <v>0.20119658119658121</v>
      </c>
      <c r="D19" s="805">
        <f>IF(ISNUMBER(
   IF(J_V="SI",(Datos!K19-Datos!U19)/Datos!U19,(Datos!K19+Datos!AA19-(Datos!U19+Datos!AI19))/(Datos!U19+Datos!AI19))
     ),IF(J_V="SI",(Datos!K19-Datos!U19)/Datos!U19,(Datos!K19+Datos!AA19-(Datos!U19+Datos!AI19))/(Datos!U19+Datos!AI19))," - ")</f>
        <v>1.0411418975650713E-2</v>
      </c>
      <c r="E19" s="805">
        <f>IF(ISNUMBER(
   IF(J_V="SI",(Datos!L19-Datos!V19)/Datos!V19,(Datos!L19+Datos!AB19-(Datos!V19+Datos!AJ19))/(Datos!V19+Datos!AJ19))
     ),IF(J_V="SI",(Datos!L19-Datos!V19)/Datos!V19,(Datos!L19+Datos!AB19-(Datos!V19+Datos!AJ19))/(Datos!V19+Datos!AJ19))," - ")</f>
        <v>0.42268041237113402</v>
      </c>
      <c r="F19" s="806">
        <f>IF(ISNUMBER((Datos!M19-Datos!W19)/Datos!W19),(Datos!M19-Datos!W19)/Datos!W19," - ")</f>
        <v>0.1214868540344515</v>
      </c>
      <c r="G19" s="807">
        <f>IF(ISNUMBER((Datos!N19-Datos!X19)/Datos!X19),(Datos!N19-Datos!X19)/Datos!X19," - ")</f>
        <v>-1.5267175572519084E-3</v>
      </c>
      <c r="H19" s="808">
        <f>IF(ISNUMBER((Tasas!B19-Datos!BD19)/Datos!BD19),(Tasas!B19-Datos!BD19)/Datos!BD19," - ")</f>
        <v>-0.15882925843068776</v>
      </c>
      <c r="I19" s="809">
        <f>IF(ISNUMBER((Tasas!C19-Datos!BE19)/Datos!BE19),(Tasas!C19-Datos!BE19)/Datos!BE19," - ")</f>
        <v>0.40802091668108742</v>
      </c>
      <c r="J19" s="810">
        <f>IF(ISNUMBER((Tasas!D19-Datos!BF19)/Datos!BF19),(Tasas!D19-Datos!BF19)/Datos!BF19," - ")</f>
        <v>-0.37569924479655081</v>
      </c>
      <c r="K19" s="810">
        <f>IF(ISNUMBER((Tasas!E19-Datos!BG19)/Datos!BG19),(Tasas!E19-Datos!BG19)/Datos!BG19," - ")</f>
        <v>0.13221586002313362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O91Xpk0DhebY7dpcrvYS3VcQ8UKwT4T0nZyxnbZQuwgqpxZl222zgk4nyIVwB4RF6ZckRrmrefXpoPf1GoC0w==" saltValue="1l3VrVcosOVTznHhBG+N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PUERTOLLANO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0.42857142857142855</v>
      </c>
      <c r="C10" s="446">
        <f>IF(ISNUMBER(NºAsuntos!I10/NºAsuntos!G10),NºAsuntos!I10/NºAsuntos!G10," - ")</f>
        <v>2.8666666666666667</v>
      </c>
      <c r="D10" s="447">
        <f>IF(ISNUMBER('Resol  Asuntos'!D10/NºAsuntos!G10),'Resol  Asuntos'!D10/NºAsuntos!G10," - ")</f>
        <v>0.53333333333333333</v>
      </c>
      <c r="E10" s="448">
        <f>IF(ISNUMBER((NºAsuntos!C10+NºAsuntos!E10)/NºAsuntos!G10),(NºAsuntos!C10+NºAsuntos!E10)/NºAsuntos!G10," - ")</f>
        <v>3.8666666666666667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0.82261812548412083</v>
      </c>
      <c r="C12" s="446">
        <f>IF(ISNUMBER(NºAsuntos!I12/NºAsuntos!G12),NºAsuntos!I12/NºAsuntos!G12," - ")</f>
        <v>0.7655367231638418</v>
      </c>
      <c r="D12" s="447">
        <f>IF(ISNUMBER('Resol  Asuntos'!D12/NºAsuntos!G12),'Resol  Asuntos'!D12/NºAsuntos!G12," - ")</f>
        <v>0.23258003766478344</v>
      </c>
      <c r="E12" s="448">
        <f>IF(ISNUMBER((NºAsuntos!C12+NºAsuntos!E12)/NºAsuntos!G12),(NºAsuntos!C12+NºAsuntos!E12)/NºAsuntos!G12," - ")</f>
        <v>1.7658505963590709</v>
      </c>
      <c r="G12" s="466"/>
    </row>
    <row r="13" spans="1:7" ht="14.25" thickTop="1" thickBot="1">
      <c r="A13" s="851" t="str">
        <f>Datos!A13</f>
        <v>TOTAL</v>
      </c>
      <c r="B13" s="861">
        <f>IF(ISNUMBER(NºAsuntos!G13/NºAsuntos!E13),NºAsuntos!G13/NºAsuntos!E13," - ")</f>
        <v>0.81908904810644834</v>
      </c>
      <c r="C13" s="862">
        <f>IF(ISNUMBER(NºAsuntos!I13/NºAsuntos!G13),NºAsuntos!I13/NºAsuntos!G13," - ")</f>
        <v>0.77538269290846606</v>
      </c>
      <c r="D13" s="863">
        <f>IF(ISNUMBER('Resol  Asuntos'!D13/NºAsuntos!G13),'Resol  Asuntos'!D13/NºAsuntos!G13," - ")</f>
        <v>0.23398937831927522</v>
      </c>
      <c r="E13" s="864">
        <f>IF(ISNUMBER((NºAsuntos!C13+NºAsuntos!E13)/NºAsuntos!G13),(NºAsuntos!C13+NºAsuntos!E13)/NºAsuntos!G13," - ")</f>
        <v>1.7756950952827242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0.90334044065387353</v>
      </c>
      <c r="C16" s="446">
        <f>IF(ISNUMBER(NºAsuntos!I16/NºAsuntos!G16),NºAsuntos!I16/NºAsuntos!G16," - ")</f>
        <v>0.40873328088119593</v>
      </c>
      <c r="D16" s="447">
        <f>IF(ISNUMBER('Resol  Asuntos'!D16/NºAsuntos!G16),'Resol  Asuntos'!D16/NºAsuntos!G16," - ")</f>
        <v>0.16365066876475218</v>
      </c>
      <c r="E16" s="448">
        <f>IF(ISNUMBER((NºAsuntos!C16+NºAsuntos!E16)/NºAsuntos!G16),(NºAsuntos!C16+NºAsuntos!E16)/NºAsuntos!G16," - ")</f>
        <v>1.3878835562549174</v>
      </c>
      <c r="G16" s="466"/>
    </row>
    <row r="17" spans="1:7" ht="13.5" thickBot="1">
      <c r="A17" s="405" t="str">
        <f>Datos!A17</f>
        <v>Jdos. Violencia contra la mujer</v>
      </c>
      <c r="B17" s="445">
        <f>IF(ISNUMBER(NºAsuntos!G17/NºAsuntos!E17),NºAsuntos!G17/NºAsuntos!E17," - ")</f>
        <v>0.89836065573770496</v>
      </c>
      <c r="C17" s="446">
        <f>IF(ISNUMBER(NºAsuntos!I17/NºAsuntos!G17),NºAsuntos!I17/NºAsuntos!G17," - ")</f>
        <v>0.24452554744525548</v>
      </c>
      <c r="D17" s="447">
        <f>IF(ISNUMBER('Resol  Asuntos'!D17/NºAsuntos!G17),'Resol  Asuntos'!D17/NºAsuntos!G17," - ")</f>
        <v>0.26277372262773724</v>
      </c>
      <c r="E17" s="448">
        <f>IF(ISNUMBER((NºAsuntos!C17+NºAsuntos!E17)/NºAsuntos!G17),(NºAsuntos!C17+NºAsuntos!E17)/NºAsuntos!G17," - ")</f>
        <v>1.2299270072992701</v>
      </c>
      <c r="G17" s="466"/>
    </row>
    <row r="18" spans="1:7" ht="14.25" thickTop="1" thickBot="1">
      <c r="A18" s="851" t="str">
        <f>Datos!A18</f>
        <v>TOTAL</v>
      </c>
      <c r="B18" s="861">
        <f>IF(ISNUMBER(NºAsuntos!G18/NºAsuntos!E18),NºAsuntos!G18/NºAsuntos!E18," - ")</f>
        <v>0.90285347867906385</v>
      </c>
      <c r="C18" s="862">
        <f>IF(ISNUMBER(NºAsuntos!I18/NºAsuntos!G18),NºAsuntos!I18/NºAsuntos!G18," - ")</f>
        <v>0.39275568181818182</v>
      </c>
      <c r="D18" s="865">
        <f>IF(ISNUMBER('Resol  Asuntos'!D18/NºAsuntos!G18),'Resol  Asuntos'!D18/NºAsuntos!G18," - ")</f>
        <v>0.17329545454545456</v>
      </c>
      <c r="E18" s="864">
        <f>IF(ISNUMBER((NºAsuntos!C18+NºAsuntos!E18)/NºAsuntos!G18),(NºAsuntos!C18+NºAsuntos!E18)/NºAsuntos!G18," - ")</f>
        <v>1.3725142045454546</v>
      </c>
      <c r="G18" s="466"/>
    </row>
    <row r="19" spans="1:7" ht="15.75" customHeight="1" thickTop="1" thickBot="1">
      <c r="A19" s="796" t="str">
        <f>Datos!A19</f>
        <v>TOTAL JURISDICCIONES</v>
      </c>
      <c r="B19" s="811">
        <f>IF(ISNUMBER(NºAsuntos!G19/NºAsuntos!E19),NºAsuntos!G19/NºAsuntos!E19," - ")</f>
        <v>0.85626867795645367</v>
      </c>
      <c r="C19" s="812">
        <f>IF(ISNUMBER(NºAsuntos!I19/NºAsuntos!G19),NºAsuntos!I19/NºAsuntos!G19," - ")</f>
        <v>0.59631045371447566</v>
      </c>
      <c r="D19" s="813">
        <f>IF(ISNUMBER('Resol  Asuntos'!D19/NºAsuntos!G19),'Resol  Asuntos'!D19/NºAsuntos!G19," - ")</f>
        <v>0.20558417816187469</v>
      </c>
      <c r="E19" s="814">
        <f>IF(ISNUMBER((NºAsuntos!C19+NºAsuntos!E19)/NºAsuntos!G19),(NºAsuntos!C19+NºAsuntos!E19)/NºAsuntos!G19," - ")</f>
        <v>1.5870034901113512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3tPexHc7rq9Zwaz4jLqAZ5+WrVtbbyTdcv7JVu1tnpXlSDCOaInwpbC+qvdg3fgIH15It4/Fx9JgQaOvhGZQQ==" saltValue="RXicBAU+bKkdfp4o7M7n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PUERTOLLANO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23</v>
      </c>
      <c r="G10" s="336">
        <f>IF(ISNUMBER(Datos!I10),Datos!I10," - ")</f>
        <v>23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0</v>
      </c>
      <c r="Y10" s="337">
        <f t="shared" ref="Y10:Y12" si="0">SUM(W10:X10)</f>
        <v>15</v>
      </c>
      <c r="Z10" s="338" t="str">
        <f>IF(ISNUMBER(Datos!CC10),Datos!CC10," - ")</f>
        <v xml:space="preserve"> - </v>
      </c>
      <c r="AA10" s="335">
        <f>IF(ISNUMBER(Datos!L10),Datos!L10,"-")</f>
        <v>43</v>
      </c>
      <c r="AB10" s="337">
        <f>IF(ISNUMBER(Datos!R10),Datos!R10," - ")</f>
        <v>13</v>
      </c>
      <c r="AC10" s="337">
        <f t="shared" ref="AC10:AC12" si="1">IF(ISNUMBER(AA10+AB10),AA10+AB10," - ")</f>
        <v>56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0.42857142857142855</v>
      </c>
      <c r="AM10" s="263">
        <f>IF(ISNUMBER(((NºAsuntos!I10/NºAsuntos!G10)*11)/factor_trimestre),((NºAsuntos!I10/NºAsuntos!G10)*11)/factor_trimestre," - ")</f>
        <v>31.533333333333335</v>
      </c>
      <c r="AN10" s="247">
        <f>IF(ISNUMBER('Resol  Asuntos'!D10/NºAsuntos!G10),'Resol  Asuntos'!D10/NºAsuntos!G10," - ")</f>
        <v>0.53333333333333333</v>
      </c>
      <c r="AO10" s="248">
        <f>IF(ISNUMBER((NºAsuntos!C10+NºAsuntos!E10)/NºAsuntos!G10),(NºAsuntos!C10+NºAsuntos!E10)/NºAsuntos!G10," - ")</f>
        <v>3.8666666666666667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622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346</v>
      </c>
      <c r="Y12" s="337">
        <f t="shared" si="0"/>
        <v>346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3829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741</v>
      </c>
      <c r="AJ12" s="232" t="str">
        <f>IF(ISNUMBER(Datos!BW12),Datos!BW12," - ")</f>
        <v xml:space="preserve"> - </v>
      </c>
      <c r="AK12" s="231" t="str">
        <f>IF(ISNUMBER(Datos!BX12),Datos!BX12," - ")</f>
        <v xml:space="preserve"> - </v>
      </c>
      <c r="AL12" s="246">
        <f>IF(ISNUMBER(NºAsuntos!G12/NºAsuntos!E12),NºAsuntos!G12/NºAsuntos!E12," - ")</f>
        <v>0.82261812548412083</v>
      </c>
      <c r="AM12" s="263">
        <f>IF(ISNUMBER(((NºAsuntos!I12/NºAsuntos!G12)*11)/factor_trimestre),((NºAsuntos!I12/NºAsuntos!G12)*11)/factor_trimestre," - ")</f>
        <v>8.4209039548022595</v>
      </c>
      <c r="AN12" s="247">
        <f>IF(ISNUMBER('Resol  Asuntos'!D12/NºAsuntos!G12),'Resol  Asuntos'!D12/NºAsuntos!G12," - ")</f>
        <v>0.23258003766478344</v>
      </c>
      <c r="AO12" s="248">
        <f>IF(ISNUMBER((NºAsuntos!C12+NºAsuntos!E12)/NºAsuntos!G12),(NºAsuntos!C12+NºAsuntos!E12)/NºAsuntos!G12," - ")</f>
        <v>1.7658505963590709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23</v>
      </c>
      <c r="G13" s="869">
        <f t="shared" si="3"/>
        <v>23</v>
      </c>
      <c r="H13" s="868">
        <f t="shared" si="3"/>
        <v>0</v>
      </c>
      <c r="I13" s="870">
        <f t="shared" si="3"/>
        <v>0</v>
      </c>
      <c r="J13" s="870">
        <f t="shared" si="3"/>
        <v>0</v>
      </c>
      <c r="K13" s="870">
        <f t="shared" si="3"/>
        <v>0</v>
      </c>
      <c r="L13" s="870">
        <f t="shared" si="3"/>
        <v>625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346</v>
      </c>
      <c r="Y13" s="871">
        <f t="shared" si="4"/>
        <v>361</v>
      </c>
      <c r="Z13" s="871">
        <f t="shared" si="4"/>
        <v>0</v>
      </c>
      <c r="AA13" s="871">
        <f t="shared" si="4"/>
        <v>43</v>
      </c>
      <c r="AB13" s="871">
        <f t="shared" si="4"/>
        <v>3842</v>
      </c>
      <c r="AC13" s="871">
        <f t="shared" si="4"/>
        <v>56</v>
      </c>
      <c r="AD13" s="871">
        <f t="shared" si="4"/>
        <v>0</v>
      </c>
      <c r="AE13" s="875">
        <f t="shared" si="4"/>
        <v>0</v>
      </c>
      <c r="AF13" s="868">
        <f t="shared" si="4"/>
        <v>0</v>
      </c>
      <c r="AG13" s="876">
        <f t="shared" si="4"/>
        <v>0</v>
      </c>
      <c r="AH13" s="873">
        <f t="shared" si="4"/>
        <v>0</v>
      </c>
      <c r="AI13" s="868">
        <f t="shared" si="4"/>
        <v>749</v>
      </c>
      <c r="AJ13" s="870">
        <f t="shared" si="4"/>
        <v>0</v>
      </c>
      <c r="AK13" s="873">
        <f>SUBTOTAL(9,AK9:AK12)</f>
        <v>0</v>
      </c>
      <c r="AL13" s="877">
        <f>IF(ISNUMBER(NºAsuntos!G13/NºAsuntos!E13),NºAsuntos!G13/NºAsuntos!E13," - ")</f>
        <v>0.81908904810644834</v>
      </c>
      <c r="AM13" s="877">
        <f>IF(ISNUMBER(((NºAsuntos!I13/NºAsuntos!G13)*11)/factor_trimestre),((NºAsuntos!I13/NºAsuntos!G13)*11)/factor_trimestre," - ")</f>
        <v>8.529209621993127</v>
      </c>
      <c r="AN13" s="878">
        <f>IF(ISNUMBER('Resol  Asuntos'!D13/NºAsuntos!G13),'Resol  Asuntos'!D13/NºAsuntos!G13," - ")</f>
        <v>0.23398937831927522</v>
      </c>
      <c r="AO13" s="879">
        <f>IF(ISNUMBER((NºAsuntos!C13+NºAsuntos!E13)/NºAsuntos!G13),(NºAsuntos!C13+NºAsuntos!E13)/NºAsuntos!G13," - ")</f>
        <v>1.7756950952827242</v>
      </c>
      <c r="AP13" s="880" t="str">
        <f t="shared" si="2"/>
        <v xml:space="preserve"> - </v>
      </c>
      <c r="AQ13" s="880">
        <f>IF(ISNUMBER((H13-W13+K13)/(F13)),(H13-W13+K13)/(F13)," - ")</f>
        <v>-0.65217391304347827</v>
      </c>
      <c r="AR13" s="881">
        <f>IF(ISNUMBER((Datos!P13-Datos!Q13)/(Datos!R13-Datos!P13+Datos!Q13)),(Datos!P13-Datos!Q13)/(Datos!R13-Datos!P13+Datos!Q13)," - ")</f>
        <v>7.8304799326410324E-2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767</v>
      </c>
      <c r="G16" s="336">
        <f>IF(ISNUMBER(IF(D_I="SI",Datos!I16,Datos!I16+Datos!AC16)),IF(D_I="SI",Datos!I16,Datos!I16+Datos!AC16)," - ")</f>
        <v>714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2542</v>
      </c>
      <c r="X16" s="229">
        <f>IF(ISNUMBER(Datos!Q16),Datos!Q16," - ")</f>
        <v>71</v>
      </c>
      <c r="Y16" s="337">
        <f t="shared" ref="Y16:Y17" si="7">SUM(W16:X16)</f>
        <v>2613</v>
      </c>
      <c r="Z16" s="338" t="str">
        <f>IF(ISNUMBER(Datos!CC16),Datos!CC16," - ")</f>
        <v xml:space="preserve"> - </v>
      </c>
      <c r="AA16" s="335">
        <f>IF(ISNUMBER(IF(D_I="SI",Datos!L16,Datos!L16+Datos!AF16)),IF(D_I="SI",Datos!L16,Datos!L16+Datos!AF16)," - ")</f>
        <v>1039</v>
      </c>
      <c r="AB16" s="337">
        <f>IF(ISNUMBER(Datos!R16),Datos!R16," - ")</f>
        <v>182</v>
      </c>
      <c r="AC16" s="337">
        <f t="shared" si="6"/>
        <v>1221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416</v>
      </c>
      <c r="AJ16" s="234" t="str">
        <f>IF(ISNUMBER(Datos!BW16),Datos!BW16," - ")</f>
        <v xml:space="preserve"> - </v>
      </c>
      <c r="AK16" s="235" t="str">
        <f>IF(ISNUMBER(Datos!BX16),Datos!BX16," - ")</f>
        <v xml:space="preserve"> - </v>
      </c>
      <c r="AL16" s="246">
        <f>IF(ISNUMBER(NºAsuntos!G16/NºAsuntos!E16),NºAsuntos!G16/NºAsuntos!E16," - ")</f>
        <v>0.90334044065387353</v>
      </c>
      <c r="AM16" s="263">
        <f>IF(ISNUMBER(((NºAsuntos!I16/NºAsuntos!G16)*11)/factor_trimestre),((NºAsuntos!I16/NºAsuntos!G16)*11)/factor_trimestre," - ")</f>
        <v>4.496066089693155</v>
      </c>
      <c r="AN16" s="247">
        <f>IF(ISNUMBER('Resol  Asuntos'!D16/NºAsuntos!G16),'Resol  Asuntos'!D16/NºAsuntos!G16," - ")</f>
        <v>0.16365066876475218</v>
      </c>
      <c r="AO16" s="248">
        <f>IF(ISNUMBER((NºAsuntos!C16+NºAsuntos!E16)/NºAsuntos!G16),(NºAsuntos!C16+NºAsuntos!E16)/NºAsuntos!G16," - ")</f>
        <v>1.3878835562549174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274</v>
      </c>
      <c r="X17" s="229">
        <f>IF(ISNUMBER(Datos!Q17),Datos!Q17," - ")</f>
        <v>2</v>
      </c>
      <c r="Y17" s="337">
        <f t="shared" si="7"/>
        <v>276</v>
      </c>
      <c r="Z17" s="338" t="str">
        <f>IF(ISNUMBER(Datos!CC17),Datos!CC17," - ")</f>
        <v xml:space="preserve"> - </v>
      </c>
      <c r="AA17" s="335">
        <f>IF(ISNUMBER(Datos!L17),Datos!L17,"-")</f>
        <v>67</v>
      </c>
      <c r="AB17" s="337">
        <f>IF(ISNUMBER(Datos!R17),Datos!R17," - ")</f>
        <v>1</v>
      </c>
      <c r="AC17" s="337">
        <f t="shared" si="6"/>
        <v>68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72</v>
      </c>
      <c r="AJ17" s="234" t="str">
        <f>IF(ISNUMBER(Datos!BW17),Datos!BW17," - ")</f>
        <v xml:space="preserve"> - </v>
      </c>
      <c r="AK17" s="235" t="str">
        <f>IF(ISNUMBER(Datos!BX17),Datos!BX17," - ")</f>
        <v xml:space="preserve"> - </v>
      </c>
      <c r="AL17" s="246">
        <f>IF(ISNUMBER(NºAsuntos!G17/NºAsuntos!E17),NºAsuntos!G17/NºAsuntos!E17," - ")</f>
        <v>0.89836065573770496</v>
      </c>
      <c r="AM17" s="263">
        <f>IF(ISNUMBER(((NºAsuntos!I17/NºAsuntos!G17)*11)/factor_trimestre),((NºAsuntos!I17/NºAsuntos!G17)*11)/factor_trimestre," - ")</f>
        <v>2.6897810218978102</v>
      </c>
      <c r="AN17" s="247">
        <f>IF(ISNUMBER('Resol  Asuntos'!D17/NºAsuntos!G17),'Resol  Asuntos'!D17/NºAsuntos!G17," - ")</f>
        <v>0.26277372262773724</v>
      </c>
      <c r="AO17" s="248">
        <f>IF(ISNUMBER((NºAsuntos!C17+NºAsuntos!E17)/NºAsuntos!G17),(NºAsuntos!C17+NºAsuntos!E17)/NºAsuntos!G17," - ")</f>
        <v>1.2299270072992701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767</v>
      </c>
      <c r="G18" s="869">
        <f>SUBTOTAL(9,G15:G17)</f>
        <v>746</v>
      </c>
      <c r="H18" s="868">
        <f t="shared" ref="H18:O18" si="10">SUBTOTAL(9,H14:H17)</f>
        <v>0</v>
      </c>
      <c r="I18" s="870">
        <f t="shared" si="10"/>
        <v>0</v>
      </c>
      <c r="J18" s="870">
        <f t="shared" si="10"/>
        <v>0</v>
      </c>
      <c r="K18" s="870">
        <f t="shared" si="10"/>
        <v>0</v>
      </c>
      <c r="L18" s="870">
        <f t="shared" si="10"/>
        <v>93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2816</v>
      </c>
      <c r="X18" s="870">
        <f t="shared" si="11"/>
        <v>73</v>
      </c>
      <c r="Y18" s="871">
        <f t="shared" si="11"/>
        <v>2889</v>
      </c>
      <c r="Z18" s="871">
        <f t="shared" si="11"/>
        <v>0</v>
      </c>
      <c r="AA18" s="871">
        <f t="shared" si="11"/>
        <v>1106</v>
      </c>
      <c r="AB18" s="871">
        <f t="shared" si="11"/>
        <v>183</v>
      </c>
      <c r="AC18" s="871">
        <f t="shared" si="11"/>
        <v>1289</v>
      </c>
      <c r="AD18" s="871">
        <f t="shared" si="11"/>
        <v>0</v>
      </c>
      <c r="AE18" s="875">
        <f t="shared" si="11"/>
        <v>0</v>
      </c>
      <c r="AF18" s="868">
        <f t="shared" si="11"/>
        <v>0</v>
      </c>
      <c r="AG18" s="876">
        <f t="shared" si="11"/>
        <v>0</v>
      </c>
      <c r="AH18" s="873">
        <f t="shared" si="11"/>
        <v>0</v>
      </c>
      <c r="AI18" s="868">
        <f t="shared" si="11"/>
        <v>488</v>
      </c>
      <c r="AJ18" s="870">
        <f t="shared" si="11"/>
        <v>0</v>
      </c>
      <c r="AK18" s="873">
        <f t="shared" si="11"/>
        <v>0</v>
      </c>
      <c r="AL18" s="877">
        <f>IF(ISNUMBER(NºAsuntos!G18/NºAsuntos!E18),NºAsuntos!G18/NºAsuntos!E18," - ")</f>
        <v>0.90285347867906385</v>
      </c>
      <c r="AM18" s="877">
        <f>IF(ISNUMBER(((NºAsuntos!I18/NºAsuntos!G18)*11)/factor_trimestre),((NºAsuntos!I18/NºAsuntos!G18)*11)/factor_trimestre," - ")</f>
        <v>4.3203125</v>
      </c>
      <c r="AN18" s="878">
        <f>IF(ISNUMBER('Resol  Asuntos'!D18/NºAsuntos!G18),'Resol  Asuntos'!D18/NºAsuntos!G18," - ")</f>
        <v>0.17329545454545456</v>
      </c>
      <c r="AO18" s="879">
        <f>IF(ISNUMBER((NºAsuntos!C18+NºAsuntos!E18)/NºAsuntos!G18),(NºAsuntos!C18+NºAsuntos!E18)/NºAsuntos!G18," - ")</f>
        <v>1.3725142045454546</v>
      </c>
      <c r="AP18" s="880" t="str">
        <f t="shared" si="2"/>
        <v xml:space="preserve"> - </v>
      </c>
      <c r="AQ18" s="880">
        <f>IF(ISNUMBER((H18-W18+K18)/(F18)),(H18-W18+K18)/(F18)," - ")</f>
        <v>-3.6714471968709255</v>
      </c>
      <c r="AR18" s="881">
        <f>IF(ISNUMBER((Datos!P18-Datos!Q18)/(Datos!R18-Datos!P18+Datos!Q18)),(Datos!P18-Datos!Q18)/(Datos!R18-Datos!P18+Datos!Q18)," - ")</f>
        <v>0.12269938650306748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790</v>
      </c>
      <c r="G19" s="824">
        <f t="shared" si="13"/>
        <v>769</v>
      </c>
      <c r="H19" s="823">
        <f t="shared" si="13"/>
        <v>0</v>
      </c>
      <c r="I19" s="825">
        <f t="shared" si="13"/>
        <v>0</v>
      </c>
      <c r="J19" s="825">
        <f t="shared" si="13"/>
        <v>0</v>
      </c>
      <c r="K19" s="884">
        <f t="shared" si="13"/>
        <v>0</v>
      </c>
      <c r="L19" s="825">
        <f t="shared" si="13"/>
        <v>718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2831</v>
      </c>
      <c r="X19" s="824">
        <f t="shared" si="14"/>
        <v>419</v>
      </c>
      <c r="Y19" s="831">
        <f t="shared" si="14"/>
        <v>3250</v>
      </c>
      <c r="Z19" s="831">
        <f t="shared" si="14"/>
        <v>0</v>
      </c>
      <c r="AA19" s="831">
        <f t="shared" si="14"/>
        <v>1149</v>
      </c>
      <c r="AB19" s="831">
        <f t="shared" si="14"/>
        <v>4025</v>
      </c>
      <c r="AC19" s="831">
        <f t="shared" si="14"/>
        <v>1345</v>
      </c>
      <c r="AD19" s="831">
        <f t="shared" si="14"/>
        <v>0</v>
      </c>
      <c r="AE19" s="833">
        <f t="shared" si="14"/>
        <v>0</v>
      </c>
      <c r="AF19" s="834">
        <f t="shared" si="14"/>
        <v>0</v>
      </c>
      <c r="AG19" s="835">
        <f t="shared" si="14"/>
        <v>0</v>
      </c>
      <c r="AH19" s="833">
        <f t="shared" si="14"/>
        <v>0</v>
      </c>
      <c r="AI19" s="823">
        <f t="shared" si="14"/>
        <v>1237</v>
      </c>
      <c r="AJ19" s="823">
        <f t="shared" si="14"/>
        <v>0</v>
      </c>
      <c r="AK19" s="833">
        <f t="shared" si="14"/>
        <v>0</v>
      </c>
      <c r="AL19" s="887">
        <f>IF(ISNUMBER(NºAsuntos!G19/NºAsuntos!E19),NºAsuntos!G19/NºAsuntos!E19," - ")</f>
        <v>0.85626867795645367</v>
      </c>
      <c r="AM19" s="888">
        <f>IF(ISNUMBER(((NºAsuntos!I19/NºAsuntos!G19)*11)/factor_trimestre),((NºAsuntos!I19/NºAsuntos!G19)*11)/factor_trimestre," - ")</f>
        <v>6.5594149908592323</v>
      </c>
      <c r="AN19" s="888">
        <f>IF(ISNUMBER('Resol  Asuntos'!D19/NºAsuntos!G19),'Resol  Asuntos'!D19/NºAsuntos!G19," - ")</f>
        <v>0.20558417816187469</v>
      </c>
      <c r="AO19" s="889">
        <f>IF(ISNUMBER((NºAsuntos!C19+NºAsuntos!E19)/NºAsuntos!G19),(NºAsuntos!C19+NºAsuntos!E19)/NºAsuntos!G19," - ")</f>
        <v>1.5870034901113512</v>
      </c>
      <c r="AP19" s="890" t="str">
        <f t="shared" si="2"/>
        <v xml:space="preserve"> - </v>
      </c>
      <c r="AQ19" s="891">
        <f>IF(OR(ISNUMBER(FIND("01",Criterios!A8,1)),ISNUMBER(FIND("02",Criterios!A8,1)),ISNUMBER(FIND("03",Criterios!A8,1)),ISNUMBER(FIND("04",Criterios!A8,1))),(I19-W19+K19)/(F19-K19),(H19-W19+K19)/(F19-K19))</f>
        <v>-3.5835443037974684</v>
      </c>
      <c r="AR19" s="892">
        <f>IF(ISNUMBER((Datos!P19-Datos!Q19)/(Datos!R19-Datos!P19+Datos!Q19)),(Datos!P19-Datos!Q19)/(Datos!R19-Datos!P19+Datos!Q19)," - ")</f>
        <v>8.0246913580246909E-2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307.60000000000002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429.54860027708156</v>
      </c>
      <c r="G21" s="256">
        <f>IF(ISNUMBER(STDEV(G8:G18)),STDEV(G8:G18),"-")</f>
        <v>385.78011872049598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1419.1103903502362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318.25063498234636</v>
      </c>
      <c r="AJ21" s="255">
        <f t="shared" si="18"/>
        <v>0</v>
      </c>
      <c r="AK21" s="257">
        <f t="shared" si="18"/>
        <v>0</v>
      </c>
      <c r="AL21" s="252">
        <f t="shared" si="18"/>
        <v>0.18420776144607307</v>
      </c>
      <c r="AM21" s="253">
        <f t="shared" si="18"/>
        <v>10.810482275928891</v>
      </c>
      <c r="AN21" s="253">
        <f t="shared" si="18"/>
        <v>0.13615169841945185</v>
      </c>
      <c r="AO21" s="254">
        <f t="shared" si="18"/>
        <v>0.98901238868404151</v>
      </c>
      <c r="AP21" s="294" t="str">
        <f t="shared" si="18"/>
        <v>-</v>
      </c>
      <c r="AQ21" s="295">
        <f t="shared" si="18"/>
        <v>2.134948613249763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ETo4MSMfutVsiIw87NOVewHVlbAja61X5XXDBYkdZFkvqqFUpizjEEIwIFW2H37EkMxTw2vp9+5d8x+k+je32Q==" saltValue="IjC+PIAMXkGaaDo09KOT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PUERTOLLANO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9.5238095238095233E-2</v>
      </c>
      <c r="E10" s="351">
        <f>IF(ISNUMBER((Datos!J10-Datos!T10)/Datos!T10),(Datos!J10-Datos!T10)/Datos!T10," - ")</f>
        <v>0.45833333333333331</v>
      </c>
      <c r="F10" s="351">
        <f>IF(ISNUMBER((Datos!K10-Datos!U10)/Datos!U10),(Datos!K10-Datos!U10)/Datos!U10," - ")</f>
        <v>-0.31818181818181818</v>
      </c>
      <c r="G10" s="352">
        <f>IF(ISNUMBER((Datos!L10-Datos!V10)/Datos!V10),(Datos!L10-Datos!V10)/Datos!V10," - ")</f>
        <v>0.86956521739130432</v>
      </c>
      <c r="H10" s="233">
        <f>IF(ISNUMBER((Datos!M10-Datos!W10)/Datos!W10),(Datos!M10-Datos!W10)/Datos!W10," - ")</f>
        <v>-0.5</v>
      </c>
      <c r="I10" s="353">
        <f>IF(ISNUMBER((Tasas!C10-Datos!BE10)/Datos!BE10),(Tasas!C10-Datos!BE10)/Datos!BE10," - ")</f>
        <v>1.7420289855072466</v>
      </c>
      <c r="J10" s="352">
        <f>IF(ISNUMBER((Tasas!D10-Datos!BF10)/Datos!BF10),(Tasas!D10-Datos!BF10)/Datos!BF10," - ")</f>
        <v>-0.26666666666666672</v>
      </c>
      <c r="K10" s="354">
        <f>IF(ISNUMBER((Tasas!E10-Datos!BG10)/Datos!BG10),(Tasas!E10-Datos!BG10)/Datos!BG10," - ")</f>
        <v>0.89037037037037037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0.11261261261261261</v>
      </c>
      <c r="I12" s="353">
        <f>IF(ISNUMBER((Tasas!C12-Datos!BE12)/Datos!BE12),(Tasas!C12-Datos!BE12)/Datos!BE12," - ")</f>
        <v>0.35988668336121116</v>
      </c>
      <c r="J12" s="352">
        <f>IF(ISNUMBER((Tasas!D12-Datos!BF12)/Datos!BF12),(Tasas!D12-Datos!BF12)/Datos!BF12," - ")</f>
        <v>-0.52476756083455678</v>
      </c>
      <c r="K12" s="354">
        <f>IF(ISNUMBER((Tasas!E12-Datos!BG12)/Datos!BG12),(Tasas!E12-Datos!BG12)/Datos!BG12," - ")</f>
        <v>0.18765847884711603</v>
      </c>
      <c r="M12" t="e">
        <f>IF(Monitorios="SI",Datos!CE12,0)</f>
        <v>#REF!</v>
      </c>
      <c r="N12" t="e">
        <f>IF(Monitorios="SI",Datos!CF12,0)</f>
        <v>#REF!</v>
      </c>
      <c r="O12" t="e">
        <f>IF(Monitorios="SI",Datos!CG12,0)</f>
        <v>#REF!</v>
      </c>
      <c r="P12" t="e">
        <f>IF(Monitorios="SI",Datos!CH12,0)</f>
        <v>#REF!</v>
      </c>
      <c r="Q12">
        <f>IF(J_V="SI",0,Datos!AG12)</f>
        <v>44</v>
      </c>
      <c r="R12">
        <f>IF(J_V="SI",0,Datos!AH12)</f>
        <v>231</v>
      </c>
      <c r="S12">
        <f>IF(J_V="SI",0,Datos!AI12)</f>
        <v>248</v>
      </c>
      <c r="T12">
        <f>IF(J_V="SI",0,Datos!AJ12)</f>
        <v>38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9.824046920821114E-2</v>
      </c>
      <c r="I13" s="360">
        <f>IF(ISNUMBER((Tasas!C13-Datos!BE13)/Datos!BE13),(Tasas!C13-Datos!BE13)/Datos!BE13," - ")</f>
        <v>0.36914421450503915</v>
      </c>
      <c r="J13" s="358">
        <f>IF(ISNUMBER((Tasas!D13-Datos!BF13)/Datos!BF13),(Tasas!D13-Datos!BF13)/Datos!BF13," - ")</f>
        <v>-0.52351253869529413</v>
      </c>
      <c r="K13" s="361">
        <f>IF(ISNUMBER((Tasas!E13-Datos!BG13)/Datos!BG13),(Tasas!E13-Datos!BG13)/Datos!BG13," - ")</f>
        <v>0.19114006819392998</v>
      </c>
      <c r="M13" t="e">
        <f>IF(Monitorios="SI",Datos!CE13,0)</f>
        <v>#REF!</v>
      </c>
      <c r="N13" t="e">
        <f>IF(Monitorios="SI",Datos!CF13,0)</f>
        <v>#REF!</v>
      </c>
      <c r="O13" t="e">
        <f>IF(Monitorios="SI",Datos!CG13,0)</f>
        <v>#REF!</v>
      </c>
      <c r="P13" t="e">
        <f>IF(Monitorios="SI",Datos!CH13,0)</f>
        <v>#REF!</v>
      </c>
      <c r="Q13">
        <f>IF(J_V="SI",0,Datos!AG13)</f>
        <v>44</v>
      </c>
      <c r="R13">
        <f>IF(J_V="SI",0,Datos!AH13)</f>
        <v>231</v>
      </c>
      <c r="S13">
        <f>IF(J_V="SI",0,Datos!AI13)</f>
        <v>248</v>
      </c>
      <c r="T13">
        <f>IF(J_V="SI",0,Datos!AJ13)</f>
        <v>38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-0.12607099143206854</v>
      </c>
      <c r="E16" s="351">
        <f>IF(ISNUMBER(
   IF(D_I="SI",(Datos!J16-Datos!T16)/Datos!T16,(Datos!J16+Datos!AD16-(Datos!T16+Datos!AL16))/(Datos!T16+Datos!AL16))
     ),IF(D_I="SI",(Datos!J16-Datos!T16)/Datos!T16,(Datos!J16+Datos!AD16-(Datos!T16+Datos!AL16))/(Datos!T16+Datos!AL16))," - ")</f>
        <v>0.11049723756906077</v>
      </c>
      <c r="F16" s="351">
        <f>IF(ISNUMBER(
   IF(D_I="SI",(Datos!K16-Datos!U16)/Datos!U16,(Datos!K16+Datos!AE16-(Datos!U16+Datos!AM16))/(Datos!U16+Datos!AM16))
     ),IF(D_I="SI",(Datos!K16-Datos!U16)/Datos!U16,(Datos!K16+Datos!AE16-(Datos!U16+Datos!AM16))/(Datos!U16+Datos!AM16))," - ")</f>
        <v>5.9358923624851598E-3</v>
      </c>
      <c r="G16" s="352">
        <f>IF(ISNUMBER(
   IF(D_I="SI",(Datos!L16-Datos!V16)/Datos!V16,(Datos!L16+Datos!AF16-(Datos!V16+Datos!AN16))/(Datos!V16+Datos!AN16))
     ),IF(D_I="SI",(Datos!L16-Datos!V16)/Datos!V16,(Datos!L16+Datos!AF16-(Datos!V16+Datos!AN16))/(Datos!V16+Datos!AN16))," - ")</f>
        <v>0.45518207282913165</v>
      </c>
      <c r="H16" s="233">
        <f>IF(ISNUMBER((Datos!M16-Datos!W16)/Datos!W16),(Datos!M16-Datos!W16)/Datos!W16," - ")</f>
        <v>0.11528150134048257</v>
      </c>
      <c r="I16" s="353">
        <f>IF(ISNUMBER((Tasas!C16-Datos!BE16)/Datos!BE16),(Tasas!C16-Datos!BE16)/Datos!BE16," - ")</f>
        <v>0.4465952391971737</v>
      </c>
      <c r="J16" s="352">
        <f>IF(ISNUMBER((Tasas!D16-Datos!BF16)/Datos!BF16),(Tasas!D16-Datos!BF16)/Datos!BF16," - ")</f>
        <v>0.1087003752507474</v>
      </c>
      <c r="K16" s="354">
        <f>IF(ISNUMBER((Tasas!E16-Datos!BG16)/Datos!BG16),(Tasas!E16-Datos!BG16)/Datos!BG16," - ")</f>
        <v>4.6607504224463331E-2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-0.34693877551020408</v>
      </c>
      <c r="E17" s="351">
        <f>IF(ISNUMBER(
   IF(D_I="SI",(Datos!J17-Datos!T17)/Datos!T17,(Datos!J17+Datos!AD17-(Datos!T17+Datos!AL17))/(Datos!T17+Datos!AL17))
     ),IF(D_I="SI",(Datos!J17-Datos!T17)/Datos!T17,(Datos!J17+Datos!AD17-(Datos!T17+Datos!AL17))/(Datos!T17+Datos!AL17))," - ")</f>
        <v>0.12132352941176471</v>
      </c>
      <c r="F17" s="351">
        <f>IF(ISNUMBER(
   IF(D_I="SI",(Datos!K17-Datos!U17)/Datos!U17,(Datos!K17+Datos!AE17-(Datos!U17+Datos!AM17))/(Datos!U17+Datos!AM17))
     ),IF(D_I="SI",(Datos!K17-Datos!U17)/Datos!U17,(Datos!K17+Datos!AE17-(Datos!U17+Datos!AM17))/(Datos!U17+Datos!AM17))," - ")</f>
        <v>-6.1643835616438353E-2</v>
      </c>
      <c r="G17" s="352">
        <f>IF(ISNUMBER(
   IF(D_I="SI",(Datos!L17-Datos!V17)/Datos!V17,(Datos!L17+Datos!AF17-(Datos!V17+Datos!AN17))/(Datos!V17+Datos!AN17))
     ),IF(D_I="SI",(Datos!L17-Datos!V17)/Datos!V17,(Datos!L17+Datos!AF17-(Datos!V17+Datos!AN17))/(Datos!V17+Datos!AN17))," - ")</f>
        <v>1.09375</v>
      </c>
      <c r="H17" s="233">
        <f>IF(ISNUMBER((Datos!M17-Datos!W17)/Datos!W17),(Datos!M17-Datos!W17)/Datos!W17," - ")</f>
        <v>0.5</v>
      </c>
      <c r="I17" s="353">
        <f>IF(ISNUMBER((Tasas!C17-Datos!BE17)/Datos!BE17),(Tasas!C17-Datos!BE17)/Datos!BE17," - ")</f>
        <v>1.2312956204379564</v>
      </c>
      <c r="J17" s="352">
        <f>IF(ISNUMBER((Tasas!D17-Datos!BF17)/Datos!BF17),(Tasas!D17-Datos!BF17)/Datos!BF17," - ")</f>
        <v>0.59854014598540162</v>
      </c>
      <c r="K17" s="354">
        <f>IF(ISNUMBER((Tasas!E17-Datos!BG17)/Datos!BG17),(Tasas!E17-Datos!BG17)/Datos!BG17," - ")</f>
        <v>0.11881210632830791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-0.13856812933025403</v>
      </c>
      <c r="E18" s="357">
        <f>IF(ISNUMBER(
   IF(D_I="SI",(Datos!J18-Datos!T18)/Datos!T18,(Datos!J18+Datos!AD18-(Datos!T18+Datos!AL18))/(Datos!T18+Datos!AL18))
     ),IF(D_I="SI",(Datos!J18-Datos!T18)/Datos!T18,(Datos!J18+Datos!AD18-(Datos!T18+Datos!AL18))/(Datos!T18+Datos!AL18))," - ")</f>
        <v>0.11154668567355666</v>
      </c>
      <c r="F18" s="357">
        <f>IF(ISNUMBER(
   IF(D_I="SI",(Datos!K18-Datos!U18)/Datos!U18,(Datos!K18+Datos!AE18-(Datos!U18+Datos!AM18))/(Datos!U18+Datos!AM18))
     ),IF(D_I="SI",(Datos!K18-Datos!U18)/Datos!U18,(Datos!K18+Datos!AE18-(Datos!U18+Datos!AM18))/(Datos!U18+Datos!AM18))," - ")</f>
        <v>-1.0642071656615821E-3</v>
      </c>
      <c r="G18" s="358">
        <f>IF(ISNUMBER(
   IF(D_I="SI",(Datos!L18-Datos!V18)/Datos!V18,(Datos!L18+Datos!AF18-(Datos!V18+Datos!AN18))/(Datos!V18+Datos!AN18))
     ),IF(D_I="SI",(Datos!L18-Datos!V18)/Datos!V18,(Datos!L18+Datos!AF18-(Datos!V18+Datos!AN18))/(Datos!V18+Datos!AN18))," - ")</f>
        <v>0.48257372654155495</v>
      </c>
      <c r="H18" s="359">
        <f>IF(ISNUMBER((Datos!M18-Datos!W18)/Datos!W18),(Datos!M18-Datos!W18)/Datos!W18," - ")</f>
        <v>0.15914489311163896</v>
      </c>
      <c r="I18" s="360">
        <f>IF(ISNUMBER((Tasas!C18-Datos!BE18)/Datos!BE18),(Tasas!C18-Datos!BE18)/Datos!BE18," - ")</f>
        <v>0.48415317298318311</v>
      </c>
      <c r="J18" s="358">
        <f>IF(ISNUMBER((Tasas!D18-Datos!BF18)/Datos!BF18),(Tasas!D18-Datos!BF18)/Datos!BF18," - ")</f>
        <v>0.16037977758583466</v>
      </c>
      <c r="K18" s="361">
        <f>IF(ISNUMBER((Tasas!E18-Datos!BG18)/Datos!BG18),(Tasas!E18-Datos!BG18)/Datos!BG18," - ")</f>
        <v>5.3681247988463063E-2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1.0012014417300761E-2</v>
      </c>
      <c r="E19" s="366">
        <f>IF(ISNUMBER(
   IF(J_V="SI",(Datos!J19-Datos!T19)/Datos!T19,(Datos!J19+Datos!Z19-(Datos!T19+Datos!AH19))/(Datos!T19+Datos!AH19))
     ),IF(J_V="SI",(Datos!J19-Datos!T19)/Datos!T19,(Datos!J19+Datos!Z19-(Datos!T19+Datos!AH19))/(Datos!T19+Datos!AH19))," - ")</f>
        <v>0.20119658119658121</v>
      </c>
      <c r="F19" s="366">
        <f>IF(ISNUMBER(
   IF(J_V="SI",(Datos!K19-Datos!U19)/Datos!U19,(Datos!K19+Datos!AA19-(Datos!U19+Datos!AI19))/(Datos!U19+Datos!AI19))
     ),IF(J_V="SI",(Datos!K19-Datos!U19)/Datos!U19,(Datos!K19+Datos!AA19-(Datos!U19+Datos!AI19))/(Datos!U19+Datos!AI19))," - ")</f>
        <v>1.0411418975650713E-2</v>
      </c>
      <c r="G19" s="367">
        <f>IF(ISNUMBER(
   IF(J_V="SI",(Datos!L19-Datos!V19)/Datos!V19,(Datos!L19+Datos!AB19-(Datos!V19+Datos!AJ19))/(Datos!V19+Datos!AJ19))
     ),IF(J_V="SI",(Datos!L19-Datos!V19)/Datos!V19,(Datos!L19+Datos!AB19-(Datos!V19+Datos!AJ19))/(Datos!V19+Datos!AJ19))," - ")</f>
        <v>0.42268041237113402</v>
      </c>
      <c r="H19" s="368">
        <f>IF(ISNUMBER((Datos!M19-Datos!W19)/Datos!W19),(Datos!M19-Datos!W19)/Datos!W19," - ")</f>
        <v>0.1214868540344515</v>
      </c>
      <c r="I19" s="365">
        <f>IF(ISNUMBER((Tasas!C19-Datos!BE19)/Datos!BE19),(Tasas!C19-Datos!BE19)/Datos!BE19," - ")</f>
        <v>0.40802091668108742</v>
      </c>
      <c r="J19" s="366">
        <f>IF(ISNUMBER((Tasas!D19-Datos!BF19)/Datos!BF19),(Tasas!D19-Datos!BF19)/Datos!BF19," - ")</f>
        <v>-0.37569924479655081</v>
      </c>
      <c r="K19" s="367">
        <f>IF(ISNUMBER((Tasas!E19-Datos!BG19)/Datos!BG19),(Tasas!E19-Datos!BG19)/Datos!BG19," - ")</f>
        <v>0.13221586002313362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0.18062865456582644</v>
      </c>
      <c r="E21" s="281">
        <f t="shared" si="1"/>
        <v>0.17200785666667504</v>
      </c>
      <c r="F21" s="281">
        <f t="shared" si="1"/>
        <v>0.15267435890759287</v>
      </c>
      <c r="G21" s="282">
        <f t="shared" si="1"/>
        <v>0.31007933914612967</v>
      </c>
      <c r="H21" s="288">
        <f t="shared" si="1"/>
        <v>0.323017135824885</v>
      </c>
      <c r="I21" s="280">
        <f t="shared" si="1"/>
        <v>0.57840863071140236</v>
      </c>
      <c r="J21" s="281">
        <f t="shared" si="1"/>
        <v>0.44339487407470501</v>
      </c>
      <c r="K21" s="282">
        <f t="shared" si="1"/>
        <v>0.32078717500215209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qpnGMmRsXCULA4Vrm4HEZwvY3xhDXmpCXaIBLSz2GGgskTnQTejLdJ0hM9I2BnRBV17I+VnRjtToU0dd0CB3g==" saltValue="dYz1a86UQSEam68OpKs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